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380" windowHeight="8190" tabRatio="942" firstSheet="2" activeTab="17"/>
  </bookViews>
  <sheets>
    <sheet name="RIS uitvoer" sheetId="1" state="hidden" r:id="rId1"/>
    <sheet name="VD" sheetId="2" state="hidden" r:id="rId2"/>
    <sheet name="Inhousopgave" sheetId="3" r:id="rId3"/>
    <sheet name="Tabel 24" sheetId="4" r:id="rId4"/>
    <sheet name="Tabel 25" sheetId="5" r:id="rId5"/>
    <sheet name="Tabel 26" sheetId="6" r:id="rId6"/>
    <sheet name="Ouderenzorg" sheetId="7" r:id="rId7"/>
    <sheet name="GHZ" sheetId="8" r:id="rId8"/>
    <sheet name="GGZ" sheetId="9" r:id="rId9"/>
    <sheet name="VPT" sheetId="10" r:id="rId10"/>
    <sheet name="Extram" sheetId="11" r:id="rId11"/>
    <sheet name="Overig binnen CR" sheetId="12" r:id="rId12"/>
    <sheet name="pgb" sheetId="13" r:id="rId13"/>
    <sheet name="kapl" sheetId="14" r:id="rId14"/>
    <sheet name="beheersk" sheetId="15" r:id="rId15"/>
    <sheet name="Overige buiten CR" sheetId="16" r:id="rId16"/>
    <sheet name="Nominaal en onv" sheetId="17" r:id="rId17"/>
    <sheet name="Ontv" sheetId="18" r:id="rId18"/>
  </sheets>
  <definedNames>
    <definedName name="_xlnm.Print_Area" localSheetId="1">VD!$A$1:$H$50</definedName>
    <definedName name="eindjaar">#REF!</definedName>
    <definedName name="LonenEnPrijzen">#REF!</definedName>
  </definedNames>
  <calcPr calcId="125725"/>
</workbook>
</file>

<file path=xl/calcChain.xml><?xml version="1.0" encoding="utf-8"?>
<calcChain xmlns="http://schemas.openxmlformats.org/spreadsheetml/2006/main">
  <c r="E15" i="8"/>
  <c r="F15"/>
  <c r="G15"/>
  <c r="H15"/>
  <c r="E15" i="14"/>
  <c r="F15"/>
  <c r="G15"/>
  <c r="H15"/>
  <c r="D15" i="17"/>
  <c r="E15"/>
  <c r="F15"/>
  <c r="G15"/>
  <c r="H15"/>
  <c r="E15" i="7"/>
  <c r="F15"/>
  <c r="G15"/>
  <c r="H15"/>
  <c r="I27" i="1"/>
  <c r="J27"/>
  <c r="K27"/>
  <c r="L27"/>
  <c r="M27"/>
  <c r="I28"/>
  <c r="J28"/>
  <c r="K28"/>
  <c r="L28"/>
  <c r="M28"/>
  <c r="I32"/>
  <c r="J32"/>
  <c r="K32"/>
  <c r="L32"/>
  <c r="M32"/>
  <c r="I85"/>
  <c r="J85"/>
  <c r="K85"/>
  <c r="L85"/>
  <c r="M85"/>
  <c r="I90"/>
  <c r="J90"/>
  <c r="K90"/>
  <c r="L90"/>
  <c r="M90"/>
  <c r="I95"/>
  <c r="J95"/>
  <c r="K95"/>
  <c r="L95"/>
  <c r="M95"/>
  <c r="I102"/>
  <c r="J102"/>
  <c r="K102"/>
  <c r="L102"/>
  <c r="M102"/>
  <c r="B4" i="2"/>
  <c r="B5" s="1"/>
  <c r="C4"/>
  <c r="D4"/>
  <c r="D5" s="1"/>
  <c r="E4"/>
  <c r="F4"/>
  <c r="F5" s="1"/>
  <c r="G4"/>
  <c r="H4"/>
  <c r="H5" s="1"/>
  <c r="C5"/>
  <c r="C37" s="1"/>
  <c r="C46" s="1"/>
  <c r="E5"/>
  <c r="G5"/>
  <c r="G37" s="1"/>
  <c r="G46" s="1"/>
  <c r="B8"/>
  <c r="B15" s="1"/>
  <c r="C8"/>
  <c r="D8"/>
  <c r="D15" s="1"/>
  <c r="E8"/>
  <c r="F8"/>
  <c r="F15" s="1"/>
  <c r="G8"/>
  <c r="H8"/>
  <c r="H15" s="1"/>
  <c r="B9"/>
  <c r="C9"/>
  <c r="D9"/>
  <c r="E9"/>
  <c r="F9"/>
  <c r="G9"/>
  <c r="H9"/>
  <c r="B10"/>
  <c r="C10"/>
  <c r="D10"/>
  <c r="E10"/>
  <c r="F10"/>
  <c r="G10"/>
  <c r="H10"/>
  <c r="B11"/>
  <c r="C11"/>
  <c r="D11"/>
  <c r="E11"/>
  <c r="F11"/>
  <c r="G11"/>
  <c r="H11"/>
  <c r="B12"/>
  <c r="C12"/>
  <c r="D12"/>
  <c r="E12"/>
  <c r="F12"/>
  <c r="G12"/>
  <c r="H12"/>
  <c r="B13"/>
  <c r="C13"/>
  <c r="D13"/>
  <c r="E13"/>
  <c r="F13"/>
  <c r="G13"/>
  <c r="H13"/>
  <c r="B14"/>
  <c r="C14"/>
  <c r="D14"/>
  <c r="E14"/>
  <c r="F14"/>
  <c r="G14"/>
  <c r="H14"/>
  <c r="C15"/>
  <c r="E15"/>
  <c r="G15"/>
  <c r="B17"/>
  <c r="B18" s="1"/>
  <c r="C17"/>
  <c r="D17"/>
  <c r="D18" s="1"/>
  <c r="E17"/>
  <c r="F17"/>
  <c r="F18" s="1"/>
  <c r="G17"/>
  <c r="H17"/>
  <c r="H18" s="1"/>
  <c r="C18"/>
  <c r="E18"/>
  <c r="E37" s="1"/>
  <c r="E46" s="1"/>
  <c r="G18"/>
  <c r="B20"/>
  <c r="B21" s="1"/>
  <c r="C20"/>
  <c r="D20"/>
  <c r="D21" s="1"/>
  <c r="E20"/>
  <c r="F20"/>
  <c r="F21" s="1"/>
  <c r="G20"/>
  <c r="H20"/>
  <c r="H21" s="1"/>
  <c r="C21"/>
  <c r="E21"/>
  <c r="G21"/>
  <c r="B24"/>
  <c r="B25" s="1"/>
  <c r="C24"/>
  <c r="D24"/>
  <c r="D25" s="1"/>
  <c r="E24"/>
  <c r="F24"/>
  <c r="F25" s="1"/>
  <c r="G24"/>
  <c r="H24"/>
  <c r="H25" s="1"/>
  <c r="C25"/>
  <c r="E25"/>
  <c r="G25"/>
  <c r="B28"/>
  <c r="B31" s="1"/>
  <c r="C28"/>
  <c r="D28"/>
  <c r="D31" s="1"/>
  <c r="E28"/>
  <c r="F28"/>
  <c r="F31" s="1"/>
  <c r="G28"/>
  <c r="H28"/>
  <c r="H31" s="1"/>
  <c r="B29"/>
  <c r="C29"/>
  <c r="D29"/>
  <c r="E29"/>
  <c r="F29"/>
  <c r="G29"/>
  <c r="H29"/>
  <c r="B30"/>
  <c r="C30"/>
  <c r="D30"/>
  <c r="E30"/>
  <c r="F30"/>
  <c r="G30"/>
  <c r="H30"/>
  <c r="C31"/>
  <c r="E31"/>
  <c r="G31"/>
  <c r="B34"/>
  <c r="B35" s="1"/>
  <c r="C34"/>
  <c r="D34"/>
  <c r="D35" s="1"/>
  <c r="E34"/>
  <c r="F34"/>
  <c r="F35" s="1"/>
  <c r="G34"/>
  <c r="H34"/>
  <c r="H35" s="1"/>
  <c r="C35"/>
  <c r="E35"/>
  <c r="G35"/>
  <c r="B41"/>
  <c r="C41"/>
  <c r="C42" s="1"/>
  <c r="C47" s="1"/>
  <c r="D41"/>
  <c r="E41"/>
  <c r="E42" s="1"/>
  <c r="E47" s="1"/>
  <c r="F41"/>
  <c r="G41"/>
  <c r="G42" s="1"/>
  <c r="G47" s="1"/>
  <c r="H41"/>
  <c r="B42"/>
  <c r="B47" s="1"/>
  <c r="D42"/>
  <c r="F42"/>
  <c r="F47" s="1"/>
  <c r="H42"/>
  <c r="D47"/>
  <c r="H47"/>
  <c r="E48" l="1"/>
  <c r="H37"/>
  <c r="H46" s="1"/>
  <c r="H48" s="1"/>
  <c r="D37"/>
  <c r="D46" s="1"/>
  <c r="D48" s="1"/>
  <c r="G48"/>
  <c r="F37"/>
  <c r="F46" s="1"/>
  <c r="F48" s="1"/>
  <c r="B37"/>
  <c r="B46" s="1"/>
  <c r="B48" s="1"/>
  <c r="C48"/>
</calcChain>
</file>

<file path=xl/sharedStrings.xml><?xml version="1.0" encoding="utf-8"?>
<sst xmlns="http://schemas.openxmlformats.org/spreadsheetml/2006/main" count="1051" uniqueCount="329">
  <si>
    <t>Gebruiker</t>
  </si>
  <si>
    <t>:</t>
  </si>
  <si>
    <t>?</t>
  </si>
  <si>
    <t>Datum/tijd</t>
  </si>
  <si>
    <t>Overzicht</t>
  </si>
  <si>
    <t>RIS2094R</t>
  </si>
  <si>
    <t>Miljoenennotajaar</t>
  </si>
  <si>
    <t>Categorie</t>
  </si>
  <si>
    <t>0 Relevant en niet-HGIS</t>
  </si>
  <si>
    <t>1 Internationale samenwerking</t>
  </si>
  <si>
    <t>2 Niet-relevant voor feitelijk FT</t>
  </si>
  <si>
    <t>3 Grote-stedenbeleid</t>
  </si>
  <si>
    <t>5 Cumulatief fonds saldo</t>
  </si>
  <si>
    <t>Budgetdisciplinesector</t>
  </si>
  <si>
    <t>Zorg</t>
  </si>
  <si>
    <t>Nota</t>
  </si>
  <si>
    <t>Basisstand (Miljoenennota)</t>
  </si>
  <si>
    <t>Uitgaven (kasbedragen)</t>
  </si>
  <si>
    <t>bedragen in duizenden euro's</t>
  </si>
  <si>
    <t>bg a ao sao</t>
  </si>
  <si>
    <t>TOTAAL</t>
  </si>
  <si>
    <t>16 VOLKSGEZONDHEID, WELZIJN EN SPORT</t>
  </si>
  <si>
    <t>42 Gezondheidszorg</t>
  </si>
  <si>
    <t>01 Programma-uitgaven</t>
  </si>
  <si>
    <t>02 Realisatie gewenste zorgaanbod</t>
  </si>
  <si>
    <t>04 BES-eilanden</t>
  </si>
  <si>
    <t>43 Langdurige Zorg</t>
  </si>
  <si>
    <t>04 Keuze voldoende en gevarieerd zorgaanbod</t>
  </si>
  <si>
    <t>99 Nominaal en onvoorzien</t>
  </si>
  <si>
    <t>02 Prijsbijstelling</t>
  </si>
  <si>
    <t>41 PREMIEGEFINANCIERD BUDGETTAIR KADER ZORG</t>
  </si>
  <si>
    <t>41 Volksgezondheid</t>
  </si>
  <si>
    <t>01 Programma uitgaven</t>
  </si>
  <si>
    <t>01 Volksgezondheid</t>
  </si>
  <si>
    <t>01 Eerstelijnszorg</t>
  </si>
  <si>
    <t>02 Ziekenhuizen, medisch specialisten, ZBC's en overig curatief</t>
  </si>
  <si>
    <t>03 Ziekenvervoer</t>
  </si>
  <si>
    <t>04 Genees- en hulpmiddelen</t>
  </si>
  <si>
    <t>05 Grensoverschrijdende zorg</t>
  </si>
  <si>
    <t>07 Geneeskundige geestelijke gezondheidszorg</t>
  </si>
  <si>
    <t>08 Beheerskosten / Diversen</t>
  </si>
  <si>
    <t>09 Multidisciplinaire zorgverlening</t>
  </si>
  <si>
    <t>43 Langdurige zorg</t>
  </si>
  <si>
    <t>01 Zzp's ggz</t>
  </si>
  <si>
    <t>02 Zzp's ghz</t>
  </si>
  <si>
    <t>03 Zzp's v&amp;v</t>
  </si>
  <si>
    <t>04 Extramurale zorgprestaties</t>
  </si>
  <si>
    <t>05 Dagbesteding en vervoer</t>
  </si>
  <si>
    <t>06 Kapitaallasten</t>
  </si>
  <si>
    <t>07 Overig zorg in natura</t>
  </si>
  <si>
    <t>08 Persoonsgebonden budgetten</t>
  </si>
  <si>
    <t>09 Bovenbudgettaire vergoedingen</t>
  </si>
  <si>
    <t>10 Beheerskosten</t>
  </si>
  <si>
    <t>11 Subsidies</t>
  </si>
  <si>
    <t>15 AWBZ onverdeeld</t>
  </si>
  <si>
    <t>44 Maatschappelijke ondersteuning</t>
  </si>
  <si>
    <t>01 Maatschappelijke ondersteuning</t>
  </si>
  <si>
    <t>01 Aanvullende post algemeen</t>
  </si>
  <si>
    <t>02 Loon- en prijsbijstelling</t>
  </si>
  <si>
    <t>50 GEMEENTEFONDS</t>
  </si>
  <si>
    <t>01 Gemeentefonds</t>
  </si>
  <si>
    <t>02 Programma</t>
  </si>
  <si>
    <t>02 Integratie-uitkeringen</t>
  </si>
  <si>
    <t>80 PRIJSBIJSTELLING</t>
  </si>
  <si>
    <t>03 ZORG</t>
  </si>
  <si>
    <t>81 ARBEIDSVOORWAARDEN</t>
  </si>
  <si>
    <t>03 arbeidsvoorwaardenruimte ijklijn Z</t>
  </si>
  <si>
    <t>86 ALGEMEEN</t>
  </si>
  <si>
    <t>87 RA: diversen</t>
  </si>
  <si>
    <t>01 Diversen Z</t>
  </si>
  <si>
    <t>01 LPO</t>
  </si>
  <si>
    <t>Ontvangsten</t>
  </si>
  <si>
    <t>03 Ontvangsten</t>
  </si>
  <si>
    <t>01 Ontvangsten</t>
  </si>
  <si>
    <t>01 Eigen betalingen ZVW</t>
  </si>
  <si>
    <t>02 Eigen betalingen AWBZ</t>
  </si>
  <si>
    <t>Hoofdstuk</t>
  </si>
  <si>
    <t>SAO</t>
  </si>
  <si>
    <t>HB</t>
  </si>
  <si>
    <t>K - 2008</t>
  </si>
  <si>
    <t>K - 2009</t>
  </si>
  <si>
    <t>K - 2010</t>
  </si>
  <si>
    <t>K - 2011</t>
  </si>
  <si>
    <t>K - 2012</t>
  </si>
  <si>
    <t>K - 2013</t>
  </si>
  <si>
    <t>K - 2014</t>
  </si>
  <si>
    <t>K - 2015</t>
  </si>
  <si>
    <t>K - 2016</t>
  </si>
  <si>
    <t>K - 2017</t>
  </si>
  <si>
    <t>V - 2010</t>
  </si>
  <si>
    <t>V - 2011</t>
  </si>
  <si>
    <t>V - 2012</t>
  </si>
  <si>
    <t>V - 2013</t>
  </si>
  <si>
    <t>V - 2014</t>
  </si>
  <si>
    <t>V - 2015</t>
  </si>
  <si>
    <t>V - 2016</t>
  </si>
  <si>
    <t>V - 2017</t>
  </si>
  <si>
    <t>16</t>
  </si>
  <si>
    <t>1.42.01.02</t>
  </si>
  <si>
    <t>1.30.75</t>
  </si>
  <si>
    <t>0</t>
  </si>
  <si>
    <t>720.976</t>
  </si>
  <si>
    <t>768.259</t>
  </si>
  <si>
    <t>810.619</t>
  </si>
  <si>
    <t>848.205</t>
  </si>
  <si>
    <t>852.061</t>
  </si>
  <si>
    <t>136.542</t>
  </si>
  <si>
    <t>147.554</t>
  </si>
  <si>
    <t>157.215</t>
  </si>
  <si>
    <t>163.879</t>
  </si>
  <si>
    <t>164.559</t>
  </si>
  <si>
    <t>144.072</t>
  </si>
  <si>
    <t>117.904</t>
  </si>
  <si>
    <t>120.774</t>
  </si>
  <si>
    <t>123.716</t>
  </si>
  <si>
    <t>126.731</t>
  </si>
  <si>
    <t>1.119.494</t>
  </si>
  <si>
    <t>1.180.659</t>
  </si>
  <si>
    <t>1.235.622</t>
  </si>
  <si>
    <t>1.282.887</t>
  </si>
  <si>
    <t>1.287.423</t>
  </si>
  <si>
    <t>1.42.01.04</t>
  </si>
  <si>
    <t>1.77.30</t>
  </si>
  <si>
    <t>21.924</t>
  </si>
  <si>
    <t>24.733</t>
  </si>
  <si>
    <t>27.746</t>
  </si>
  <si>
    <t>30.959</t>
  </si>
  <si>
    <t>29.659</t>
  </si>
  <si>
    <t>17.972</t>
  </si>
  <si>
    <t>39.896</t>
  </si>
  <si>
    <t>42.705</t>
  </si>
  <si>
    <t>45.718</t>
  </si>
  <si>
    <t>48.931</t>
  </si>
  <si>
    <t>47.631</t>
  </si>
  <si>
    <t>1.43.01.04</t>
  </si>
  <si>
    <t>1.30.76</t>
  </si>
  <si>
    <t>616.739</t>
  </si>
  <si>
    <t>434.032</t>
  </si>
  <si>
    <t>394.137</t>
  </si>
  <si>
    <t>399.558</t>
  </si>
  <si>
    <t>405.430</t>
  </si>
  <si>
    <t>1.776.129</t>
  </si>
  <si>
    <t>1.657.396</t>
  </si>
  <si>
    <t>1.675.477</t>
  </si>
  <si>
    <t>1.731.376</t>
  </si>
  <si>
    <t>1.740.484</t>
  </si>
  <si>
    <t>50</t>
  </si>
  <si>
    <t>1.01.02.02</t>
  </si>
  <si>
    <t>1.00.00</t>
  </si>
  <si>
    <t>1.474.600</t>
  </si>
  <si>
    <t>1.533.200</t>
  </si>
  <si>
    <t>1.541.000</t>
  </si>
  <si>
    <t>1.455.986</t>
  </si>
  <si>
    <t>1.441.486</t>
  </si>
  <si>
    <t>80</t>
  </si>
  <si>
    <t>1.03.01.01</t>
  </si>
  <si>
    <t>22.564</t>
  </si>
  <si>
    <t>45.570</t>
  </si>
  <si>
    <t>69.198</t>
  </si>
  <si>
    <t>94.348</t>
  </si>
  <si>
    <t>121.161</t>
  </si>
  <si>
    <t>81</t>
  </si>
  <si>
    <t>-1</t>
  </si>
  <si>
    <t>33.231</t>
  </si>
  <si>
    <t>65.187</t>
  </si>
  <si>
    <t>104.151</t>
  </si>
  <si>
    <t>143.978</t>
  </si>
  <si>
    <t>181.469</t>
  </si>
  <si>
    <t>86</t>
  </si>
  <si>
    <t>1.87.01.01</t>
  </si>
  <si>
    <t>1</t>
  </si>
  <si>
    <t>6</t>
  </si>
  <si>
    <t>4</t>
  </si>
  <si>
    <t>3.273.416</t>
  </si>
  <si>
    <t>3.209.643</t>
  </si>
  <si>
    <t>3.290.316</t>
  </si>
  <si>
    <t>3.411.192</t>
  </si>
  <si>
    <t>3.484.606</t>
  </si>
  <si>
    <t>Opbouw van de AWBZ-uitgaven per sector (bedragen x € 1 miljoen)</t>
  </si>
  <si>
    <t>Volksgezondheid</t>
  </si>
  <si>
    <t>Preventieve zorg (Rijksvaccinatieprogramma)</t>
  </si>
  <si>
    <t>Totaal begroting 2015</t>
  </si>
  <si>
    <t>Zorg in natura</t>
  </si>
  <si>
    <t>Intramurale ggz</t>
  </si>
  <si>
    <t>Intramurale gehandicaptenzorg</t>
  </si>
  <si>
    <t>Intramurale verpleging en verzorging</t>
  </si>
  <si>
    <t>Extramurale zorg</t>
  </si>
  <si>
    <t>Dagbesteding en vervoer</t>
  </si>
  <si>
    <t>Kapitaallasten</t>
  </si>
  <si>
    <t>Overige zorg in natura</t>
  </si>
  <si>
    <t>Persoonsgebonden budgetten</t>
  </si>
  <si>
    <t>Mee-instellingen</t>
  </si>
  <si>
    <t>Opleidingen</t>
  </si>
  <si>
    <t>Beschikbaarheidbijdrage opleidingen AWBZ</t>
  </si>
  <si>
    <t>Overig</t>
  </si>
  <si>
    <t>Beheerskosten / diversen AWBZ</t>
  </si>
  <si>
    <t xml:space="preserve">Tandheelkundige zorg </t>
  </si>
  <si>
    <t>Medisch-specialistische zorg</t>
  </si>
  <si>
    <t>Nominaal en onverdeeld</t>
  </si>
  <si>
    <t>H86</t>
  </si>
  <si>
    <t>Wmo</t>
  </si>
  <si>
    <t>Zvw</t>
  </si>
  <si>
    <t>Totaal uitgaven begroting 2015</t>
  </si>
  <si>
    <t>AWBZ</t>
  </si>
  <si>
    <t>Ontvangsten Algemene Wet Bijzondere Ziektekosten (AWBZ)</t>
  </si>
  <si>
    <t>Eigen bijdrage AWBZ</t>
  </si>
  <si>
    <t>Totaal ontvangsten begroting 2015</t>
  </si>
  <si>
    <t>Bron: VWS, NZa-gegevens over de productieafspraken en voorlopige realisatiegegevens, gegevens Zorginstituut Nederland over (voorlopige) financieringslasten Zvw en AWBZ.</t>
  </si>
  <si>
    <t>oke</t>
  </si>
  <si>
    <t>Inhoudsopgave</t>
  </si>
  <si>
    <t>Verdiepingshoofdstuk Wet langdurige zorg (Wlz)</t>
  </si>
  <si>
    <t>Tabel 24 Ontwikkeling van de Wlz-uitgaven per sector vanaf de ontwerpbegroting 2015</t>
  </si>
  <si>
    <t>Tabel 25 Ontvangsten Wlz vanaf de ontwerpbegroting 2015</t>
  </si>
  <si>
    <t>Tabel 26 Opbouw van de Wlz-uitgaven en -ontvangsten per sector</t>
  </si>
  <si>
    <t>Ouderenzorg</t>
  </si>
  <si>
    <t>Gehandicaptenzorg</t>
  </si>
  <si>
    <t>Langdurige ggz</t>
  </si>
  <si>
    <t>Volledig pakket thuis</t>
  </si>
  <si>
    <t>Overige binnen contracteerruimte</t>
  </si>
  <si>
    <t>Kapitaallasten (nacalculatie)</t>
  </si>
  <si>
    <t>Beheerskosten</t>
  </si>
  <si>
    <t>Overig buiten contracteerruimte</t>
  </si>
  <si>
    <t>Ontvangsten Wlz</t>
  </si>
  <si>
    <r>
      <t>Tabel 24 Ontwikkeling van de Wlz-uitgaven per sector vanaf de ontwerpbegroting 2015 (bedragen x € 1 miljoen)</t>
    </r>
    <r>
      <rPr>
        <b/>
        <vertAlign val="superscript"/>
        <sz val="8"/>
        <color indexed="9"/>
        <rFont val="Verdana"/>
        <family val="2"/>
      </rPr>
      <t>1</t>
    </r>
  </si>
  <si>
    <t>Uitgaven Wet langdurige zorg</t>
  </si>
  <si>
    <t>Stand ontwerpbegroting 2015</t>
  </si>
  <si>
    <r>
      <t>Mutatie 1</t>
    </r>
    <r>
      <rPr>
        <vertAlign val="superscript"/>
        <sz val="8"/>
        <color indexed="8"/>
        <rFont val="Verdana"/>
        <family val="2"/>
      </rPr>
      <t>e</t>
    </r>
    <r>
      <rPr>
        <sz val="8"/>
        <color indexed="8"/>
        <rFont val="Verdana"/>
        <family val="2"/>
      </rPr>
      <t xml:space="preserve"> suppletoire begroting 2015</t>
    </r>
  </si>
  <si>
    <t>Nieuwe mutaties</t>
  </si>
  <si>
    <t>Stand ontwerpbegroting 2016</t>
  </si>
  <si>
    <r>
      <t>1</t>
    </r>
    <r>
      <rPr>
        <i/>
        <sz val="8"/>
        <color indexed="8"/>
        <rFont val="Verdana"/>
        <family val="2"/>
      </rPr>
      <t>Als gevolg van afronding kan de som der delen afwijken van het totaal.</t>
    </r>
  </si>
  <si>
    <r>
      <t>Tabel 25 Ontvangsten Wlz vanaf de ontwerpbegroting 2015  (bedragen x € 1 miljoen)</t>
    </r>
    <r>
      <rPr>
        <b/>
        <vertAlign val="superscript"/>
        <sz val="8"/>
        <color indexed="9"/>
        <rFont val="Verdana"/>
        <family val="2"/>
      </rPr>
      <t>1</t>
    </r>
  </si>
  <si>
    <t>Ontvangsten Wet langdurige zorg</t>
  </si>
  <si>
    <r>
      <t>Mutatie 1</t>
    </r>
    <r>
      <rPr>
        <vertAlign val="superscript"/>
        <sz val="8"/>
        <color indexed="8"/>
        <rFont val="Verdana"/>
        <family val="2"/>
      </rPr>
      <t xml:space="preserve">e </t>
    </r>
    <r>
      <rPr>
        <sz val="8"/>
        <color indexed="8"/>
        <rFont val="Verdana"/>
        <family val="2"/>
      </rPr>
      <t>suppletoire begroting 2015</t>
    </r>
  </si>
  <si>
    <r>
      <t>1</t>
    </r>
    <r>
      <rPr>
        <i/>
        <sz val="8"/>
        <color indexed="8"/>
        <rFont val="Verdana"/>
        <family val="2"/>
      </rPr>
      <t>Als gevolg van afronding kan de som der delen afwijken van het totaal</t>
    </r>
  </si>
  <si>
    <t>Tabel 26 Opbouw van de Wlz-uitgaven en -ontvangsten per sector (bedragen x € 1 miljoen)</t>
  </si>
  <si>
    <t>Nieuwe indeling</t>
  </si>
  <si>
    <t>Binnen contracteerruimte</t>
  </si>
  <si>
    <t>-</t>
  </si>
  <si>
    <t xml:space="preserve">Overige binnen contracteerruimte </t>
  </si>
  <si>
    <t>Buiten contracteerruimte</t>
  </si>
  <si>
    <t xml:space="preserve">Beheerskosten </t>
  </si>
  <si>
    <r>
      <t>Overig buiten contracteerruimte</t>
    </r>
    <r>
      <rPr>
        <vertAlign val="superscript"/>
        <sz val="8"/>
        <color indexed="8"/>
        <rFont val="Verdana"/>
        <family val="2"/>
      </rPr>
      <t xml:space="preserve"> 1</t>
    </r>
  </si>
  <si>
    <t>Oude indeling</t>
  </si>
  <si>
    <t>Bruto-Wlz-uitgaven begroting 2016</t>
  </si>
  <si>
    <t>Eigen bijdrage Wlz</t>
  </si>
  <si>
    <t>Netto-Wlz-uitgaven begroting 2016</t>
  </si>
  <si>
    <t>Bron: VWS, NZa-gegevens over de productieafspraken en voorlopige realisatiegegevens, gegevens Zorginstituut Nederland over (voorlopige) financieringslasten Zvw en Wlz.</t>
  </si>
  <si>
    <r>
      <t xml:space="preserve">1 </t>
    </r>
    <r>
      <rPr>
        <i/>
        <sz val="8"/>
        <color indexed="8"/>
        <rFont val="Verdana"/>
        <family val="2"/>
      </rPr>
      <t>Bij de Wlz zijn onder de post overige buiten contracteerruimte opgenomen de sectoren; bovenbudgettaire vergoedingen, tandheelkunde Wlz, instellingen voor medisch-specialistische zorg Wlz, overig curatieve zorg Wlz, ADL, extramurale behandeling, zorginfrastructuur, eerstelijnsverblijf, orthocommunicatieve behandeling,  innovatie  en beschikbaarheidbijdrage opleidingen Wlz.</t>
    </r>
  </si>
  <si>
    <t>Ouderenzorg (bedragen x € 1 miljoen)`</t>
  </si>
  <si>
    <t xml:space="preserve">Mutaties jaarverslag 2014 </t>
  </si>
  <si>
    <r>
      <t>Mutaties 1</t>
    </r>
    <r>
      <rPr>
        <vertAlign val="superscript"/>
        <sz val="8"/>
        <color indexed="8"/>
        <rFont val="Verdana"/>
        <family val="2"/>
      </rPr>
      <t>e</t>
    </r>
    <r>
      <rPr>
        <sz val="8"/>
        <color indexed="8"/>
        <rFont val="Verdana"/>
        <family val="2"/>
      </rPr>
      <t xml:space="preserve"> suppletoire begroting 2015</t>
    </r>
  </si>
  <si>
    <t>Op deze deelsector staat de uitgavenontwikkeling van de intramurale ouderenzorg, bestaande uit de zorgzwaartepakketten, de normatieve huisvestingscomponent, de toeslagen en vergoedingen voor dagbestedingen en vervoer.</t>
  </si>
  <si>
    <t>Toelichting nieuwe mutaties</t>
  </si>
  <si>
    <t>Beleidsmatige mutaties</t>
  </si>
  <si>
    <t>Extramuraliseren tranche 2016</t>
  </si>
  <si>
    <t>Betreft de toedeling van de tranche 2016 van de maatregel extramuraliseren aan de sector, rekening houdend met het ingroeipad (t/m 2018) van de normatieve huisvestingscomponenent (nhc).</t>
  </si>
  <si>
    <t>Dekking ophogen budget eerstelijnsverblijf</t>
  </si>
  <si>
    <t>Dit betreft het aandeel van de normatieve huisvestingscomponent (nhc) in de subsidieregeling eerstelijnsverblijf voor de jaren 2015 en 2016. Hiermee was bij de opstelling van de oorspronkelijke raming nog geen rekening gehouden</t>
  </si>
  <si>
    <t>Onderuitputting contracteerruimte Wlz</t>
  </si>
  <si>
    <t>De contracteerruimte liet de afgelopen jaren bij de nacalculatie een onderuitputting zien van circa 1%. Het kabinet zet hiervan nu € 40 miljoen in als dekking (zie overig deel bij gahandicaptenzorg).</t>
  </si>
  <si>
    <t>Compensatie RA-maatregel kern-awbz in 2016</t>
  </si>
  <si>
    <t>Deze mutatie betreft de inzet van enveloppe-middelen 2016 ter compensatie van de regeerakkoord-taakstelling kern-AWBZ in 2016.</t>
  </si>
  <si>
    <t>Overige</t>
  </si>
  <si>
    <t>Deze middelen vallen vrij en worden ingezet ter (gedeeltelijke) dekking van de uitgaven in verband met passend onderwijs.</t>
  </si>
  <si>
    <t>Extrapolatie 2020</t>
  </si>
  <si>
    <t>De extrapolatiemutatie betreft de oploop in 2020 van de ombuiging die behoort bij de invoering van de normatieve huisvestingscomponent (nhc) op de sector ouderenzorg (-€ 30,1 miljoen) en de oploop van het effect van extramuraliseren (-€ 5 miljoen).</t>
  </si>
  <si>
    <t>Gehandicaptenzorg (bedragen x € 1 miljoen)</t>
  </si>
  <si>
    <t>Op deze deelsector staat de uitgavenontwikkeling van de intramurale gehandicaptenzorg, bestaande uit de zorgzwaartepakketten, de normatieve huisvestingscomponent, de toeslagen en vergoedingen voor dagbestedingen en vervoer.</t>
  </si>
  <si>
    <t>Inzet groeimiddelen tbv pgb-problematiek</t>
  </si>
  <si>
    <t>Het pgb groeit harder dan de naturazorg. Daarom wordt €65 miljoen van de groeimiddelen vanuit de contracteerruimte overgeheveld ter dekking van de pgb-problematiek.</t>
  </si>
  <si>
    <t>Orthocommunicatieve behandeling</t>
  </si>
  <si>
    <t>Orthocommunicatieve behandeling wordt om redenen van rechtmatigheid met ingang van 2015 niet langer vanuit de contractteerruimte betaald, maar vanuit een aparte subsidieregeling.</t>
  </si>
  <si>
    <t>De contracteerruimte liet de afgelopen jaren bij de nacalculatie een onderuitputting zien van circa 1%. Het kabinet zet hiervan nu € 40 miljoen in als dekking (zie overig deel bij ouderenzorg).</t>
  </si>
  <si>
    <t>Passend onderwijs</t>
  </si>
  <si>
    <t>Voor kinderen met een zzp-indicatie in de Wlz is dagbesteding standaard in het profiel opgenomen. Hiermee was nog geen rekening gehouden bij de vaststelling van het budgettaire kader voor 2015. In het kader van aangenomen moties van Dik-Faber/Voordewind(TK 31497, nr 156) en Ypma (nr 164) worden kinderen die met een hoog AWBZ-zzp onder de Wlz vallen nu actief geherindiceerd.</t>
  </si>
  <si>
    <t>De extrapolatiemutatie betreft de oploop in 2020 van de ombuiging die behoort bij de invoering van de normatieve huisvestingscomponent (nhc) op de sector gehandicaptenzorg (-€ 17,5 miljoen).</t>
  </si>
  <si>
    <t>Langdurige ggz (bedragen x € 1 miljoen)</t>
  </si>
  <si>
    <t>Op deze deelsector staat de uitgavenontwikkeling van de intramurale langdurige geestelijke gezondheidszorg onder de Wlz, bestaande uit de zorgzwaartepakketten, de normatieve huisvestingscomponent, de toeslagen en vergoedingen voor dagbestedingen en vervoer. De  intramurale geneeskundige geestelijke gezondheidszorg korter dan een jaar valt onder de Zorgverzekeringswet. Voor nieuwe instroom vanaf 1-1-2015 geldt dat intramurale geneeskundige geestelijke gezondheidszorg korter dan drie jaar onder de Zvw valt.</t>
  </si>
  <si>
    <t>Ambulantiseringsschuif ggz</t>
  </si>
  <si>
    <t xml:space="preserve">In het kader van de beleidsregel overheveling ggz-budget Wlz-Zvw  is het voor ggz-instellingen mogelijk te schuiven tussen Wlz- en Zvw-budgetten voor de ggz. Voor 2015 leidt dit voorlopig tot een aanpassing van -€ 2,1 miljoen.
</t>
  </si>
  <si>
    <t>De extrapolatiemutatie betreft de oploop in 2020 van de ombuiging die behoort bij de invoering van de normatieve huisvestingscomponent (nhc) op de sector langdurige ggz ( - € 1,4 miljoen).</t>
  </si>
  <si>
    <t>Volledig pakket thuis (bedragen x € 1 miljoen)</t>
  </si>
  <si>
    <t>Het Volledig Pakket Thuis (VPT) is een budget waarmee cliënten met een indicatie voor een intramuraal zorgpakket (ZZP) de benodigde zorg- en dienstverlening in de thuissituatie ontvangen, waarbij de huisvestingscomponent niet wordt verzilverd. </t>
  </si>
  <si>
    <t>Huishoudelijke hulp Wlz MPT</t>
  </si>
  <si>
    <t>Cliënten met een mpt (modulair pakket thuis) ontvangen in 2015, net als in voorgaande jaren, hun huishoudelijke verzorging nog vanuit de Wmo 2015. Vanaf 2016 zal het budget voor de huishoudelijke verzorging voor de hier bedoelde cliënten aan de contracteerruimte Wlz worden toegevoegd. Deze mutatie betreft het besparingsverlies van het deel van het budget dat niet vanuit het Gemeentefonds aan de contracteerruimte Wlz kan worden toegevoegd in verband met de korting op de huishoudelijke verzorging in de Wmo 2015 vanaf 2015.</t>
  </si>
  <si>
    <t>Extramurale zorg (bedragen x € 1 miljoen)</t>
  </si>
  <si>
    <t>Een deel van de verblijfsgeïndiceerden ontvangt extramurale zorg, die in de eigen woonomgeving wordt gegeven. Onder deze zorg valt persoonlijke verzorging, verpleging, begeleiding en behandeling.</t>
  </si>
  <si>
    <t>Schuif groei van extramurale zorg naar pgb</t>
  </si>
  <si>
    <t>Binnen de groep Wlz-indiceerbaren wordt meer dan verwacht gebruik gemaakt van pgb's en minder van extramurale zorg. Met ingang van 2016 wordt de contracteerruimte hiervoor gecorrigeerd en wordt dit bedrag toegevoegd aan het pgb-kader.</t>
  </si>
  <si>
    <t>Overige binnen contracteerruimte  (bedragen x € 1 miljoen)</t>
  </si>
  <si>
    <t>Op deze deelsector worden alle uitgaven binnen de contracteerruimte verantwoord die niet -direct- toe te rekenen zijn aan één van de andere deelsectoren in de Wlz of waarvoor specifiek middelen beschikbaar zijn gesteld. Het gaat bijvoorbeeld om geoormerkte middelen in de aanwijzing budgettair kader Wlz (onder andere de regeling regelvrije zorg). </t>
  </si>
  <si>
    <t>N.v.t.</t>
  </si>
  <si>
    <t>Persoonsgebonden budgetten (bedragen x € 1 miljoen)</t>
  </si>
  <si>
    <t xml:space="preserve">Deze deelsector betreft de uitgaven in het kader van de persoonsgebonden budgetten. </t>
  </si>
  <si>
    <t>Afvlakkende effect van reeds genomen maatregelen</t>
  </si>
  <si>
    <t>Er is in de Wlz een aantal maatregelen getroffen die een afvlakkend effect zal hebben op de groei van het aantal budgethouders. Het gaat daarbij om maatregelen in het kader van solide pgb (SVB, CIZ, zorgkantoren, bruteren eigen bijdragen).</t>
  </si>
  <si>
    <t>Correctie tbv aansluiten bij pgb-plafond 2016</t>
  </si>
  <si>
    <t>Met deze mutatie wordt het pgb-kader 2016 in de begroting aangesloten bij de stand in de kaderbrief Wlz van 19 juni 2015. Het verschil van € 10 miljoen wordt in mindering gebracht op de pgb-problematiek.</t>
  </si>
  <si>
    <t>Pgb-tekort Wlz wegens hogere toestroom</t>
  </si>
  <si>
    <t>Als gevolg van een hoger dan verwachte toestroom van budgethouders in de laatste maanden van 2014 en een groter beroep op pgb-middelen door de groep Wlz-indiceerbaren dan verwacht zijn er extra middelen vrijgemaakt voor hogere pgb-uitgaven.</t>
  </si>
  <si>
    <t>Kapitaallasten (nacalculatie) (bedragen x € 1 miljoen)</t>
  </si>
  <si>
    <t>Deze deelsector betreft de na te calculeren kapitaallasten van de gebouwen waarin Wlz-zorg met verblijf wordt geleverd.</t>
  </si>
  <si>
    <t>Dit betreft het aandeel van de kapitaallasten in de subsidieregeling eerstelijnsverblijf voor de jaren 2015 en 2016. Hiermee was bij de opstelling van de oorspronkelijke raming nog geen rekening gehouden.</t>
  </si>
  <si>
    <t>Beheerskosten  (bedragen x € 1 miljoen)</t>
  </si>
  <si>
    <t>Onder deze deelsector vallen de uitvoeringskosten ten laste van de Wlz van zorgkantoren en de kosten van het College Sanering Zorginstellingen.</t>
  </si>
  <si>
    <t>Overig buiten contracteerruimte  (bedragen x € 1 miljoen)</t>
  </si>
  <si>
    <t>Op deze deelsector worden de kosten verantwoord van bovenbudgettaire vergoedingen voor individueel aangepaste hulpmiddelen, tandheelkunde Wlz, instellingen voor medisch-specialistische zorg Wlz, overig curatieve zorg Wlz, ADL, extramurale behandeling, zorginfrastructuur, eerstelijnsverblijf, orthocommunicatieve behandeling, innovatie  en beschikbaarheidbijdrage opleidingen Wlz.</t>
  </si>
  <si>
    <t>Toedelen restant volumegroei 2015</t>
  </si>
  <si>
    <t>Betreft het toedelen van de groeiruimte tranche 2015 aan de sector tandheelkundige zorg in de Wlz.</t>
  </si>
  <si>
    <t xml:space="preserve">Ophogen budget eerstelijnsverblijf </t>
  </si>
  <si>
    <t>Het plafond van de subsidieregeling voor eerstelijnsverblijf wordt voor 2015 verhoogd met € 67 miljoen.</t>
  </si>
  <si>
    <t xml:space="preserve">Dekking ophogen budget eerstelijnsverblijf </t>
  </si>
  <si>
    <t>De ophoging van het budget voor eerstelijnsverblijf wordt onder andere gedekt door een verlaging van de uitgaven aan extramurale behandeling.</t>
  </si>
  <si>
    <t>Uitstel overheveling eerstelijnsverblijf naar 2017</t>
  </si>
  <si>
    <t>De overheveling van het eerstelijnsverblijf van de Wlz naar de Zvw is uitgesteld naar 2017.</t>
  </si>
  <si>
    <t>Nominaal en onverdeeld  (bedragen x € 1 miljoen)</t>
  </si>
  <si>
    <t>Deze niet-beleidsmatige deelsector heeft een technisch-administratief karakter. Vanuit deze deelsector vinden overboekingen van loon- en prijsbijstellingen naar de loon- en prijsgevoelige deelsectoren binnen de begroting plaats. Ook worden er taakstellingen of extra middelen op deze deelsector geplaatst die nog niet aan de deelsectoren zijn toegedeeld.</t>
  </si>
  <si>
    <t>Nominaal</t>
  </si>
  <si>
    <t>Nominale ontwikkeling</t>
  </si>
  <si>
    <t>De raming van de loon- en prijsbijstelling is aangepast op basis van de laatste macro-economische inzichten van het Centraal Planbureau (CPB).</t>
  </si>
  <si>
    <t>Deze mutatie betreft de tranche 2016 van het extramuraliseringseffect op de sector verpleging en verzorging, gehandicaptenzorg en kapitaallasten.</t>
  </si>
  <si>
    <t>Het pgb groeit harder dan de naturazorg. Daarom wordt € 65 miljoen van de groeimiddelen vanuit de contracteerruimte overgeheveld ter dekking van de pgb-problematiek.</t>
  </si>
  <si>
    <t>Enveloppe: waardigheid en trots</t>
  </si>
  <si>
    <t>Deze mutatie betreft de investering in de kwaliteit van leven in instellingen. Dit betreft een kwaliteitsimpuls voor verpleeghuizen en investeringen in dagactiviteiten. De middelen worden via een ijklijnmutatie naar het Budgettair Kader Zorg overgeheveld.</t>
  </si>
  <si>
    <t>Extrapolatie</t>
  </si>
  <si>
    <t>De extrapolatiemutatie betreft de extrapolatie van de groeiruimte Wlz en van de nominale ontwikkeling in 2020.</t>
  </si>
  <si>
    <t>Ontvangsten Wlz (bedragen x € 1 miljoen)</t>
  </si>
  <si>
    <t>Betreft de eigen bijdragen die binnen de Wlz verplicht zijn.</t>
  </si>
  <si>
    <t>De extrapolatiemutatie betreft de oploop van de eigen bijdragen Wlz op basis van de verwachte ontwikkeling van het bruto minimumloon in 2020.</t>
  </si>
</sst>
</file>

<file path=xl/styles.xml><?xml version="1.0" encoding="utf-8"?>
<styleSheet xmlns="http://schemas.openxmlformats.org/spreadsheetml/2006/main">
  <numFmts count="10">
    <numFmt numFmtId="164" formatCode="&quot;fl &quot;#,##0.00\ ;&quot;fl &quot;#,##0.00\-"/>
    <numFmt numFmtId="165" formatCode="dd/mm/yyyy"/>
    <numFmt numFmtId="166" formatCode="[$€]\ #,##0.00\ ;[$€]\ #,##0.00\-;[$€]&quot; -&quot;#\ ;@\ "/>
    <numFmt numFmtId="167" formatCode="#,##0\ ;\-#,##0\ "/>
    <numFmt numFmtId="168" formatCode="#,##0.00\ ;#,##0.00\-;&quot; -&quot;#\ ;@\ "/>
    <numFmt numFmtId="169" formatCode="&quot;fl &quot;#,##0\ ;&quot;fl &quot;#,##0\-"/>
    <numFmt numFmtId="170" formatCode="#,##0.0"/>
    <numFmt numFmtId="171" formatCode="0.0"/>
    <numFmt numFmtId="172" formatCode="#,##0.0\ ;#,##0.0\-;&quot; -&quot;#\ ;@\ "/>
    <numFmt numFmtId="173" formatCode="#,##0.0\ ;\-#,##0.0\ "/>
  </numFmts>
  <fonts count="27">
    <font>
      <sz val="11"/>
      <color indexed="8"/>
      <name val="Calibri"/>
      <family val="2"/>
    </font>
    <font>
      <sz val="12"/>
      <name val="Arial"/>
      <family val="2"/>
    </font>
    <font>
      <b/>
      <sz val="18"/>
      <name val="Arial"/>
      <family val="2"/>
    </font>
    <font>
      <b/>
      <sz val="12"/>
      <name val="Arial"/>
      <family val="2"/>
    </font>
    <font>
      <u/>
      <sz val="9"/>
      <color indexed="12"/>
      <name val="Arial"/>
      <family val="2"/>
    </font>
    <font>
      <sz val="10"/>
      <name val="Arial"/>
      <family val="2"/>
    </font>
    <font>
      <sz val="9"/>
      <color indexed="8"/>
      <name val="Verdana"/>
      <family val="2"/>
    </font>
    <font>
      <sz val="10"/>
      <color indexed="8"/>
      <name val="Tahoma"/>
      <family val="2"/>
    </font>
    <font>
      <sz val="9"/>
      <name val="Arial"/>
      <family val="2"/>
    </font>
    <font>
      <sz val="7"/>
      <color indexed="8"/>
      <name val="Courier New"/>
      <family val="3"/>
    </font>
    <font>
      <sz val="8"/>
      <color indexed="8"/>
      <name val="Verdana"/>
      <family val="2"/>
    </font>
    <font>
      <b/>
      <sz val="8"/>
      <color indexed="9"/>
      <name val="Verdana"/>
      <family val="2"/>
    </font>
    <font>
      <b/>
      <sz val="8"/>
      <color indexed="8"/>
      <name val="Verdana"/>
      <family val="2"/>
    </font>
    <font>
      <b/>
      <sz val="8"/>
      <color indexed="10"/>
      <name val="Verdana"/>
      <family val="2"/>
    </font>
    <font>
      <i/>
      <sz val="8"/>
      <name val="Verdana"/>
      <family val="2"/>
    </font>
    <font>
      <sz val="8"/>
      <color indexed="10"/>
      <name val="Verdana"/>
      <family val="2"/>
    </font>
    <font>
      <b/>
      <sz val="12"/>
      <color indexed="8"/>
      <name val="Verdana"/>
      <family val="2"/>
    </font>
    <font>
      <b/>
      <sz val="10"/>
      <color indexed="8"/>
      <name val="Verdana"/>
      <family val="2"/>
    </font>
    <font>
      <b/>
      <vertAlign val="superscript"/>
      <sz val="8"/>
      <color indexed="9"/>
      <name val="Verdana"/>
      <family val="2"/>
    </font>
    <font>
      <vertAlign val="superscript"/>
      <sz val="8"/>
      <color indexed="8"/>
      <name val="Verdana"/>
      <family val="2"/>
    </font>
    <font>
      <i/>
      <vertAlign val="superscript"/>
      <sz val="8"/>
      <color indexed="8"/>
      <name val="Verdana"/>
      <family val="2"/>
    </font>
    <font>
      <i/>
      <sz val="8"/>
      <color indexed="8"/>
      <name val="Verdana"/>
      <family val="2"/>
    </font>
    <font>
      <sz val="8"/>
      <color indexed="8"/>
      <name val="Calibri"/>
      <family val="2"/>
    </font>
    <font>
      <b/>
      <sz val="8"/>
      <name val="Verdana"/>
      <family val="2"/>
    </font>
    <font>
      <sz val="8"/>
      <name val="Verdana"/>
      <family val="2"/>
    </font>
    <font>
      <b/>
      <i/>
      <sz val="8"/>
      <color indexed="8"/>
      <name val="Verdana"/>
      <family val="2"/>
    </font>
    <font>
      <sz val="11"/>
      <color indexed="8"/>
      <name val="Calibri"/>
      <family val="2"/>
    </font>
  </fonts>
  <fills count="5">
    <fill>
      <patternFill patternType="none"/>
    </fill>
    <fill>
      <patternFill patternType="gray125"/>
    </fill>
    <fill>
      <patternFill patternType="solid">
        <fgColor indexed="46"/>
        <bgColor indexed="24"/>
      </patternFill>
    </fill>
    <fill>
      <patternFill patternType="solid">
        <fgColor indexed="8"/>
        <bgColor indexed="58"/>
      </patternFill>
    </fill>
    <fill>
      <patternFill patternType="solid">
        <fgColor indexed="31"/>
        <bgColor indexed="22"/>
      </patternFill>
    </fill>
  </fills>
  <borders count="11">
    <border>
      <left/>
      <right/>
      <top/>
      <bottom/>
      <diagonal/>
    </border>
    <border>
      <left/>
      <right/>
      <top style="thin">
        <color indexed="8"/>
      </top>
      <bottom style="double">
        <color indexed="8"/>
      </bottom>
      <diagonal/>
    </border>
    <border>
      <left/>
      <right/>
      <top/>
      <bottom style="medium">
        <color indexed="8"/>
      </bottom>
      <diagonal/>
    </border>
    <border>
      <left/>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top style="medium">
        <color indexed="8"/>
      </top>
      <bottom/>
      <diagonal/>
    </border>
    <border>
      <left/>
      <right/>
      <top style="thin">
        <color indexed="8"/>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s>
  <cellStyleXfs count="104">
    <xf numFmtId="0" fontId="0" fillId="0" borderId="0"/>
    <xf numFmtId="168" fontId="26" fillId="0" borderId="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4" fontId="1" fillId="0" borderId="0" applyProtection="0"/>
    <xf numFmtId="4" fontId="1" fillId="0" borderId="0" applyProtection="0"/>
    <xf numFmtId="4" fontId="1" fillId="0" borderId="0" applyProtection="0"/>
    <xf numFmtId="164" fontId="1" fillId="0" borderId="0" applyProtection="0"/>
    <xf numFmtId="164" fontId="1" fillId="0" borderId="0" applyProtection="0"/>
    <xf numFmtId="164" fontId="1" fillId="0" borderId="0" applyProtection="0"/>
    <xf numFmtId="0" fontId="1" fillId="0" borderId="0" applyProtection="0"/>
    <xf numFmtId="0" fontId="1" fillId="0" borderId="0" applyProtection="0"/>
    <xf numFmtId="0" fontId="1" fillId="0" borderId="0" applyProtection="0"/>
    <xf numFmtId="165" fontId="26" fillId="0" borderId="0" applyFill="0" applyBorder="0" applyAlignment="0" applyProtection="0"/>
    <xf numFmtId="165" fontId="26" fillId="0" borderId="0" applyFill="0" applyBorder="0" applyAlignment="0" applyProtection="0"/>
    <xf numFmtId="165"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2" fontId="1" fillId="0" borderId="0" applyProtection="0"/>
    <xf numFmtId="2" fontId="1" fillId="0" borderId="0" applyProtection="0"/>
    <xf numFmtId="2" fontId="1" fillId="0" borderId="0" applyProtection="0"/>
    <xf numFmtId="0" fontId="2" fillId="0" borderId="0" applyProtection="0"/>
    <xf numFmtId="0" fontId="2" fillId="0" borderId="0" applyProtection="0"/>
    <xf numFmtId="0" fontId="2" fillId="0" borderId="0" applyProtection="0"/>
    <xf numFmtId="0" fontId="3" fillId="0" borderId="0" applyProtection="0"/>
    <xf numFmtId="0" fontId="3" fillId="0" borderId="0" applyProtection="0"/>
    <xf numFmtId="0" fontId="3" fillId="0" borderId="0" applyProtection="0"/>
    <xf numFmtId="0" fontId="4" fillId="0" borderId="0" applyNumberFormat="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3" fontId="26" fillId="0" borderId="0" applyFill="0" applyBorder="0" applyAlignment="0" applyProtection="0"/>
    <xf numFmtId="3" fontId="26" fillId="0" borderId="0" applyFill="0" applyBorder="0" applyAlignment="0" applyProtection="0"/>
    <xf numFmtId="3" fontId="26" fillId="0" borderId="0" applyFill="0" applyBorder="0" applyAlignment="0" applyProtection="0"/>
    <xf numFmtId="0" fontId="26" fillId="0" borderId="0" applyNumberFormat="0" applyFill="0" applyAlignment="0" applyProtection="0"/>
    <xf numFmtId="0" fontId="26" fillId="0" borderId="0" applyNumberFormat="0" applyFill="0" applyAlignment="0" applyProtection="0"/>
    <xf numFmtId="0" fontId="26" fillId="0" borderId="0" applyNumberFormat="0" applyFill="0" applyAlignment="0" applyProtection="0"/>
    <xf numFmtId="0" fontId="26" fillId="0" borderId="0" applyNumberFormat="0" applyFill="0" applyAlignment="0" applyProtection="0"/>
    <xf numFmtId="0" fontId="26" fillId="0" borderId="0" applyNumberFormat="0" applyFill="0" applyAlignment="0" applyProtection="0"/>
    <xf numFmtId="0" fontId="26" fillId="0" borderId="0" applyNumberFormat="0" applyFill="0" applyAlignment="0" applyProtection="0"/>
    <xf numFmtId="0" fontId="1" fillId="0" borderId="0"/>
    <xf numFmtId="0" fontId="5" fillId="0" borderId="0"/>
    <xf numFmtId="0" fontId="5" fillId="0" borderId="0"/>
    <xf numFmtId="0" fontId="5" fillId="0" borderId="0"/>
    <xf numFmtId="0" fontId="1" fillId="0" borderId="0"/>
    <xf numFmtId="0" fontId="1" fillId="0" borderId="0"/>
    <xf numFmtId="0" fontId="6" fillId="0" borderId="0"/>
    <xf numFmtId="10" fontId="1" fillId="0" borderId="0" applyProtection="0"/>
    <xf numFmtId="10" fontId="1" fillId="0" borderId="0" applyProtection="0"/>
    <xf numFmtId="10" fontId="1" fillId="0" borderId="0" applyProtection="0"/>
    <xf numFmtId="9" fontId="26" fillId="0" borderId="0" applyFill="0" applyBorder="0" applyAlignment="0" applyProtection="0"/>
    <xf numFmtId="9" fontId="26" fillId="0" borderId="0" applyFill="0" applyBorder="0" applyAlignment="0" applyProtection="0"/>
    <xf numFmtId="9" fontId="26" fillId="0" borderId="0" applyFill="0" applyBorder="0" applyAlignment="0" applyProtection="0"/>
    <xf numFmtId="9" fontId="26" fillId="0" borderId="0" applyFill="0" applyBorder="0" applyAlignment="0" applyProtection="0"/>
    <xf numFmtId="9" fontId="26" fillId="0" borderId="0" applyFill="0" applyBorder="0" applyAlignment="0" applyProtection="0"/>
    <xf numFmtId="9"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8" fillId="0" borderId="0"/>
    <xf numFmtId="0" fontId="8" fillId="0" borderId="0"/>
    <xf numFmtId="0" fontId="26" fillId="0" borderId="0"/>
    <xf numFmtId="0" fontId="26" fillId="0" borderId="0"/>
    <xf numFmtId="0" fontId="26" fillId="0" borderId="0"/>
    <xf numFmtId="0" fontId="26" fillId="0" borderId="0"/>
    <xf numFmtId="0" fontId="8" fillId="0" borderId="0"/>
    <xf numFmtId="0" fontId="26" fillId="0" borderId="0" applyNumberFormat="0" applyBorder="0" applyAlignment="0" applyProtection="0"/>
    <xf numFmtId="0" fontId="26" fillId="0" borderId="0" applyNumberFormat="0" applyBorder="0" applyAlignment="0" applyProtection="0"/>
    <xf numFmtId="0" fontId="26" fillId="0" borderId="0" applyNumberFormat="0" applyBorder="0" applyAlignment="0" applyProtection="0"/>
    <xf numFmtId="0" fontId="26" fillId="0" borderId="0" applyNumberFormat="0" applyBorder="0" applyAlignment="0" applyProtection="0"/>
    <xf numFmtId="0" fontId="26" fillId="0" borderId="0" applyNumberFormat="0" applyBorder="0" applyAlignment="0" applyProtection="0"/>
    <xf numFmtId="0" fontId="1" fillId="0" borderId="1" applyProtection="0"/>
    <xf numFmtId="0" fontId="1" fillId="0" borderId="1" applyProtection="0"/>
    <xf numFmtId="0" fontId="1" fillId="0" borderId="1" applyProtection="0"/>
    <xf numFmtId="169" fontId="26" fillId="0" borderId="0" applyFill="0" applyBorder="0" applyAlignment="0" applyProtection="0"/>
    <xf numFmtId="169" fontId="26" fillId="0" borderId="0" applyFill="0" applyBorder="0" applyAlignment="0" applyProtection="0"/>
    <xf numFmtId="169" fontId="26" fillId="0" borderId="0" applyFill="0" applyBorder="0" applyAlignment="0" applyProtection="0"/>
    <xf numFmtId="2" fontId="26" fillId="0" borderId="0" applyFill="0" applyBorder="0" applyAlignment="0" applyProtection="0"/>
    <xf numFmtId="2" fontId="26" fillId="0" borderId="0" applyFill="0" applyBorder="0" applyAlignment="0" applyProtection="0"/>
    <xf numFmtId="2" fontId="26" fillId="0" borderId="0" applyFill="0" applyBorder="0" applyAlignment="0" applyProtection="0"/>
  </cellStyleXfs>
  <cellXfs count="130">
    <xf numFmtId="0" fontId="0" fillId="0" borderId="0" xfId="0"/>
    <xf numFmtId="0" fontId="9" fillId="0" borderId="0" xfId="0" applyFont="1" applyFill="1"/>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right" vertical="top" wrapText="1"/>
    </xf>
    <xf numFmtId="3" fontId="9" fillId="0" borderId="0" xfId="0" applyNumberFormat="1" applyFont="1" applyFill="1" applyAlignment="1">
      <alignment horizontal="right" vertical="top" wrapText="1"/>
    </xf>
    <xf numFmtId="0" fontId="9" fillId="0" borderId="0" xfId="0" applyFont="1" applyFill="1" applyAlignment="1">
      <alignment horizontal="right" vertical="top" wrapText="1"/>
    </xf>
    <xf numFmtId="3" fontId="9" fillId="0" borderId="0" xfId="0" applyNumberFormat="1" applyFont="1" applyFill="1"/>
    <xf numFmtId="0" fontId="9" fillId="0" borderId="0" xfId="0" applyFont="1" applyFill="1" applyAlignment="1">
      <alignment vertical="top" wrapText="1" indent="1"/>
    </xf>
    <xf numFmtId="0" fontId="9" fillId="0" borderId="0" xfId="0" applyFont="1" applyFill="1" applyAlignment="1">
      <alignment vertical="top" wrapText="1" indent="2"/>
    </xf>
    <xf numFmtId="0" fontId="9" fillId="0" borderId="0" xfId="0" applyFont="1" applyFill="1" applyAlignment="1">
      <alignment vertical="top" wrapText="1" indent="3"/>
    </xf>
    <xf numFmtId="0" fontId="0" fillId="0" borderId="4" xfId="0" applyFont="1" applyFill="1" applyBorder="1"/>
    <xf numFmtId="0" fontId="0" fillId="0" borderId="0" xfId="0" applyFont="1" applyFill="1"/>
    <xf numFmtId="0" fontId="10" fillId="0" borderId="0" xfId="0" applyFont="1"/>
    <xf numFmtId="0" fontId="11" fillId="3" borderId="0" xfId="0" applyFont="1" applyFill="1" applyAlignment="1">
      <alignment vertical="center"/>
    </xf>
    <xf numFmtId="0" fontId="10" fillId="0" borderId="0" xfId="0" applyFont="1" applyAlignment="1">
      <alignment vertical="center"/>
    </xf>
    <xf numFmtId="4" fontId="10" fillId="0" borderId="0" xfId="0" applyNumberFormat="1" applyFont="1" applyAlignment="1">
      <alignment vertical="center"/>
    </xf>
    <xf numFmtId="0" fontId="11" fillId="2" borderId="2" xfId="0" applyFont="1" applyFill="1" applyBorder="1"/>
    <xf numFmtId="0" fontId="10" fillId="2" borderId="2" xfId="0" applyFont="1" applyFill="1" applyBorder="1" applyAlignment="1">
      <alignment horizontal="right"/>
    </xf>
    <xf numFmtId="0" fontId="12" fillId="2" borderId="0" xfId="0" applyFont="1" applyFill="1"/>
    <xf numFmtId="0" fontId="10" fillId="2" borderId="0" xfId="0" applyFont="1" applyFill="1"/>
    <xf numFmtId="170" fontId="10" fillId="2" borderId="0" xfId="0" applyNumberFormat="1" applyFont="1" applyFill="1"/>
    <xf numFmtId="0" fontId="12" fillId="2" borderId="3" xfId="0" applyFont="1" applyFill="1" applyBorder="1"/>
    <xf numFmtId="170" fontId="10" fillId="2" borderId="3" xfId="0" applyNumberFormat="1" applyFont="1" applyFill="1" applyBorder="1"/>
    <xf numFmtId="0" fontId="0" fillId="0" borderId="0" xfId="0" applyFill="1"/>
    <xf numFmtId="3" fontId="0" fillId="0" borderId="0" xfId="0" applyNumberFormat="1" applyFill="1"/>
    <xf numFmtId="170" fontId="12" fillId="2" borderId="0" xfId="0" applyNumberFormat="1" applyFont="1" applyFill="1"/>
    <xf numFmtId="0" fontId="10" fillId="0" borderId="0" xfId="0" applyFont="1" applyFill="1"/>
    <xf numFmtId="0" fontId="12" fillId="2" borderId="0" xfId="0" applyFont="1" applyFill="1" applyBorder="1"/>
    <xf numFmtId="170" fontId="10" fillId="2" borderId="0" xfId="0" applyNumberFormat="1" applyFont="1" applyFill="1" applyBorder="1"/>
    <xf numFmtId="0" fontId="10" fillId="2" borderId="0" xfId="0" applyFont="1" applyFill="1" applyBorder="1"/>
    <xf numFmtId="0" fontId="12" fillId="0" borderId="0" xfId="0" applyFont="1"/>
    <xf numFmtId="0" fontId="13" fillId="0" borderId="0" xfId="0" applyFont="1"/>
    <xf numFmtId="0" fontId="0" fillId="2" borderId="0" xfId="0" applyFont="1" applyFill="1"/>
    <xf numFmtId="3" fontId="0" fillId="2" borderId="0" xfId="0" applyNumberFormat="1" applyFill="1"/>
    <xf numFmtId="0" fontId="12" fillId="2" borderId="2" xfId="0" applyFont="1" applyFill="1" applyBorder="1"/>
    <xf numFmtId="170" fontId="10" fillId="2" borderId="2" xfId="0" applyNumberFormat="1" applyFont="1" applyFill="1" applyBorder="1"/>
    <xf numFmtId="0" fontId="10" fillId="0" borderId="0" xfId="0" applyFont="1" applyFill="1" applyAlignment="1"/>
    <xf numFmtId="171" fontId="10" fillId="0" borderId="0" xfId="0" applyNumberFormat="1" applyFont="1" applyFill="1" applyAlignment="1"/>
    <xf numFmtId="170" fontId="10" fillId="0" borderId="0" xfId="0" applyNumberFormat="1" applyFont="1"/>
    <xf numFmtId="0" fontId="11" fillId="3" borderId="0" xfId="0" applyFont="1" applyFill="1" applyAlignment="1"/>
    <xf numFmtId="0" fontId="10" fillId="2" borderId="0" xfId="0" applyFont="1" applyFill="1" applyAlignment="1"/>
    <xf numFmtId="170" fontId="10" fillId="2" borderId="0" xfId="0" applyNumberFormat="1" applyFont="1" applyFill="1" applyAlignment="1"/>
    <xf numFmtId="0" fontId="12" fillId="2" borderId="3" xfId="0" applyFont="1" applyFill="1" applyBorder="1" applyAlignment="1"/>
    <xf numFmtId="170" fontId="12" fillId="2" borderId="3" xfId="0" applyNumberFormat="1" applyFont="1" applyFill="1" applyBorder="1" applyAlignment="1"/>
    <xf numFmtId="0" fontId="10" fillId="0" borderId="0" xfId="0" applyFont="1" applyFill="1" applyBorder="1" applyAlignment="1"/>
    <xf numFmtId="170" fontId="10" fillId="0" borderId="0" xfId="0" applyNumberFormat="1" applyFont="1" applyFill="1" applyBorder="1" applyAlignment="1"/>
    <xf numFmtId="170" fontId="12" fillId="0" borderId="0" xfId="0" applyNumberFormat="1" applyFont="1" applyFill="1" applyBorder="1" applyAlignment="1"/>
    <xf numFmtId="172" fontId="10" fillId="0" borderId="0" xfId="1" applyNumberFormat="1" applyFont="1" applyFill="1" applyBorder="1" applyAlignment="1" applyProtection="1">
      <alignment horizontal="right"/>
    </xf>
    <xf numFmtId="0" fontId="15" fillId="0" borderId="0" xfId="0" applyFont="1"/>
    <xf numFmtId="172" fontId="15" fillId="0" borderId="0" xfId="0" applyNumberFormat="1" applyFont="1"/>
    <xf numFmtId="170" fontId="15" fillId="0" borderId="0" xfId="0" applyNumberFormat="1" applyFont="1"/>
    <xf numFmtId="172" fontId="10" fillId="0" borderId="0" xfId="0" applyNumberFormat="1" applyFont="1"/>
    <xf numFmtId="0" fontId="6" fillId="0" borderId="0" xfId="0" applyFont="1"/>
    <xf numFmtId="0" fontId="16" fillId="0" borderId="0" xfId="0" applyFont="1"/>
    <xf numFmtId="0" fontId="17" fillId="0" borderId="0" xfId="0" applyFont="1"/>
    <xf numFmtId="0" fontId="12" fillId="4" borderId="6" xfId="0" applyFont="1" applyFill="1" applyBorder="1" applyAlignment="1">
      <alignment wrapText="1"/>
    </xf>
    <xf numFmtId="0" fontId="10" fillId="4" borderId="6" xfId="0" applyFont="1" applyFill="1" applyBorder="1"/>
    <xf numFmtId="0" fontId="12" fillId="4" borderId="0" xfId="0" applyFont="1" applyFill="1" applyBorder="1"/>
    <xf numFmtId="170" fontId="12" fillId="4" borderId="0" xfId="0" applyNumberFormat="1" applyFont="1" applyFill="1" applyBorder="1"/>
    <xf numFmtId="0" fontId="10" fillId="4" borderId="0" xfId="0" applyFont="1" applyFill="1" applyBorder="1"/>
    <xf numFmtId="170" fontId="10" fillId="4" borderId="0" xfId="0" applyNumberFormat="1" applyFont="1" applyFill="1" applyBorder="1"/>
    <xf numFmtId="0" fontId="12" fillId="4" borderId="6" xfId="0" applyFont="1" applyFill="1" applyBorder="1"/>
    <xf numFmtId="170" fontId="12" fillId="4" borderId="6" xfId="0" applyNumberFormat="1" applyFont="1" applyFill="1" applyBorder="1"/>
    <xf numFmtId="0" fontId="22" fillId="0" borderId="0" xfId="0" applyFont="1" applyFill="1"/>
    <xf numFmtId="0" fontId="11" fillId="4" borderId="6" xfId="0" applyFont="1" applyFill="1" applyBorder="1"/>
    <xf numFmtId="0" fontId="10" fillId="4" borderId="8" xfId="0" applyFont="1" applyFill="1" applyBorder="1" applyAlignment="1">
      <alignment horizontal="right"/>
    </xf>
    <xf numFmtId="0" fontId="10" fillId="4" borderId="6" xfId="0" applyFont="1" applyFill="1" applyBorder="1" applyAlignment="1">
      <alignment horizontal="right"/>
    </xf>
    <xf numFmtId="0" fontId="23" fillId="4" borderId="0" xfId="0" applyFont="1" applyFill="1" applyBorder="1"/>
    <xf numFmtId="0" fontId="10" fillId="4" borderId="9" xfId="0" applyFont="1" applyFill="1" applyBorder="1" applyAlignment="1">
      <alignment horizontal="right"/>
    </xf>
    <xf numFmtId="0" fontId="10" fillId="4" borderId="0" xfId="0" applyFont="1" applyFill="1" applyBorder="1" applyAlignment="1">
      <alignment horizontal="right"/>
    </xf>
    <xf numFmtId="0" fontId="24" fillId="4" borderId="0" xfId="0" applyFont="1" applyFill="1" applyBorder="1"/>
    <xf numFmtId="0" fontId="25" fillId="4" borderId="0" xfId="0" applyFont="1" applyFill="1"/>
    <xf numFmtId="170" fontId="12" fillId="4" borderId="9" xfId="0" applyNumberFormat="1" applyFont="1" applyFill="1" applyBorder="1"/>
    <xf numFmtId="0" fontId="10" fillId="4" borderId="0" xfId="0" applyFont="1" applyFill="1"/>
    <xf numFmtId="170" fontId="10" fillId="4" borderId="9" xfId="0" applyNumberFormat="1" applyFont="1" applyFill="1" applyBorder="1"/>
    <xf numFmtId="170" fontId="10" fillId="4" borderId="0" xfId="0" applyNumberFormat="1" applyFont="1" applyFill="1"/>
    <xf numFmtId="170" fontId="10" fillId="4" borderId="9" xfId="0" applyNumberFormat="1" applyFont="1" applyFill="1" applyBorder="1" applyAlignment="1">
      <alignment horizontal="right"/>
    </xf>
    <xf numFmtId="170" fontId="12" fillId="4" borderId="0" xfId="0" applyNumberFormat="1" applyFont="1" applyFill="1"/>
    <xf numFmtId="0" fontId="12" fillId="4" borderId="0" xfId="0" applyFont="1" applyFill="1"/>
    <xf numFmtId="0" fontId="11" fillId="4" borderId="0" xfId="0" applyFont="1" applyFill="1" applyBorder="1"/>
    <xf numFmtId="170" fontId="10" fillId="4" borderId="0" xfId="0" applyNumberFormat="1" applyFont="1" applyFill="1" applyAlignment="1">
      <alignment horizontal="right"/>
    </xf>
    <xf numFmtId="170" fontId="12" fillId="4" borderId="8" xfId="0" applyNumberFormat="1" applyFont="1" applyFill="1" applyBorder="1"/>
    <xf numFmtId="0" fontId="10" fillId="4" borderId="0" xfId="0" applyFont="1" applyFill="1" applyAlignment="1"/>
    <xf numFmtId="170" fontId="10" fillId="4" borderId="9" xfId="0" applyNumberFormat="1" applyFont="1" applyFill="1" applyBorder="1" applyAlignment="1"/>
    <xf numFmtId="170" fontId="10" fillId="4" borderId="0" xfId="0" applyNumberFormat="1" applyFont="1" applyFill="1" applyBorder="1" applyAlignment="1"/>
    <xf numFmtId="0" fontId="12" fillId="4" borderId="6" xfId="0" applyFont="1" applyFill="1" applyBorder="1" applyAlignment="1"/>
    <xf numFmtId="170" fontId="12" fillId="4" borderId="8" xfId="0" applyNumberFormat="1" applyFont="1" applyFill="1" applyBorder="1" applyAlignment="1"/>
    <xf numFmtId="170" fontId="12" fillId="4" borderId="6" xfId="0" applyNumberFormat="1" applyFont="1" applyFill="1" applyBorder="1" applyAlignment="1"/>
    <xf numFmtId="3" fontId="10" fillId="0" borderId="0" xfId="0" applyNumberFormat="1" applyFont="1"/>
    <xf numFmtId="173" fontId="12" fillId="4" borderId="0" xfId="1" applyNumberFormat="1" applyFont="1" applyFill="1" applyBorder="1" applyAlignment="1" applyProtection="1"/>
    <xf numFmtId="173" fontId="10" fillId="4" borderId="0" xfId="1" applyNumberFormat="1" applyFont="1" applyFill="1" applyBorder="1" applyAlignment="1" applyProtection="1"/>
    <xf numFmtId="173" fontId="12" fillId="4" borderId="6" xfId="1" applyNumberFormat="1" applyFont="1" applyFill="1" applyBorder="1" applyAlignment="1" applyProtection="1"/>
    <xf numFmtId="0" fontId="21" fillId="4" borderId="0" xfId="0" applyFont="1" applyFill="1"/>
    <xf numFmtId="170" fontId="21" fillId="4" borderId="0" xfId="0" applyNumberFormat="1" applyFont="1" applyFill="1"/>
    <xf numFmtId="0" fontId="10" fillId="4" borderId="0" xfId="0" applyFont="1" applyFill="1" applyAlignment="1">
      <alignment wrapText="1"/>
    </xf>
    <xf numFmtId="0" fontId="21" fillId="0" borderId="0" xfId="0" applyFont="1"/>
    <xf numFmtId="0" fontId="21" fillId="4" borderId="0" xfId="0" applyFont="1" applyFill="1" applyAlignment="1">
      <alignment horizontal="right"/>
    </xf>
    <xf numFmtId="0" fontId="14" fillId="4" borderId="0" xfId="0" applyFont="1" applyFill="1" applyAlignment="1">
      <alignment horizontal="right"/>
    </xf>
    <xf numFmtId="0" fontId="10" fillId="4" borderId="7" xfId="0" applyFont="1" applyFill="1" applyBorder="1"/>
    <xf numFmtId="170" fontId="10" fillId="4" borderId="7" xfId="0" applyNumberFormat="1" applyFont="1" applyFill="1" applyBorder="1"/>
    <xf numFmtId="0" fontId="21" fillId="4" borderId="0" xfId="0" applyFont="1" applyFill="1" applyAlignment="1">
      <alignment wrapText="1"/>
    </xf>
    <xf numFmtId="0" fontId="10" fillId="0" borderId="0" xfId="0" applyFont="1" applyAlignment="1">
      <alignment horizontal="right"/>
    </xf>
    <xf numFmtId="173" fontId="12" fillId="4" borderId="6" xfId="1" applyNumberFormat="1" applyFont="1" applyFill="1" applyBorder="1" applyAlignment="1" applyProtection="1">
      <alignment horizontal="right"/>
    </xf>
    <xf numFmtId="49" fontId="10" fillId="4" borderId="0" xfId="0" applyNumberFormat="1" applyFont="1" applyFill="1" applyAlignment="1">
      <alignment horizontal="right"/>
    </xf>
    <xf numFmtId="173" fontId="10" fillId="4" borderId="0" xfId="1" applyNumberFormat="1" applyFont="1" applyFill="1" applyBorder="1" applyAlignment="1" applyProtection="1">
      <alignment horizontal="right"/>
    </xf>
    <xf numFmtId="173" fontId="12" fillId="4" borderId="0" xfId="1" applyNumberFormat="1" applyFont="1" applyFill="1" applyBorder="1" applyAlignment="1" applyProtection="1">
      <alignment horizontal="right"/>
    </xf>
    <xf numFmtId="0" fontId="10" fillId="4" borderId="7" xfId="0" applyFont="1" applyFill="1" applyBorder="1" applyAlignment="1">
      <alignment wrapText="1"/>
    </xf>
    <xf numFmtId="0" fontId="10" fillId="4" borderId="2" xfId="0" applyFont="1" applyFill="1" applyBorder="1"/>
    <xf numFmtId="173" fontId="10" fillId="4" borderId="2" xfId="1" applyNumberFormat="1" applyFont="1" applyFill="1" applyBorder="1" applyAlignment="1" applyProtection="1"/>
    <xf numFmtId="0" fontId="12" fillId="4" borderId="3" xfId="0" applyFont="1" applyFill="1" applyBorder="1"/>
    <xf numFmtId="173" fontId="12" fillId="4" borderId="3" xfId="1" applyNumberFormat="1" applyFont="1" applyFill="1" applyBorder="1" applyAlignment="1" applyProtection="1"/>
    <xf numFmtId="170" fontId="21" fillId="4" borderId="0" xfId="0" applyNumberFormat="1" applyFont="1" applyFill="1" applyBorder="1"/>
    <xf numFmtId="0" fontId="21" fillId="4" borderId="7" xfId="0" applyFont="1" applyFill="1" applyBorder="1"/>
    <xf numFmtId="170" fontId="21" fillId="4" borderId="7" xfId="0" applyNumberFormat="1" applyFont="1" applyFill="1" applyBorder="1"/>
    <xf numFmtId="0" fontId="9" fillId="0" borderId="0" xfId="0" applyFont="1" applyFill="1" applyBorder="1" applyAlignment="1">
      <alignment vertical="top" wrapText="1"/>
    </xf>
    <xf numFmtId="0" fontId="9" fillId="0" borderId="2" xfId="0" applyFont="1" applyFill="1" applyBorder="1" applyAlignment="1">
      <alignment horizontal="right" vertical="top" wrapText="1"/>
    </xf>
    <xf numFmtId="0" fontId="14" fillId="0" borderId="5" xfId="0" applyFont="1" applyBorder="1" applyAlignment="1">
      <alignment wrapText="1"/>
    </xf>
    <xf numFmtId="0" fontId="11" fillId="3" borderId="0" xfId="0" applyFont="1" applyFill="1" applyBorder="1" applyAlignment="1">
      <alignment vertical="center" wrapText="1"/>
    </xf>
    <xf numFmtId="0" fontId="20" fillId="0" borderId="0" xfId="0" applyFont="1" applyBorder="1" applyAlignment="1">
      <alignment wrapText="1"/>
    </xf>
    <xf numFmtId="0" fontId="11" fillId="3" borderId="7" xfId="0" applyFont="1" applyFill="1" applyBorder="1" applyAlignment="1">
      <alignment vertical="center" wrapText="1"/>
    </xf>
    <xf numFmtId="0" fontId="14" fillId="0" borderId="0" xfId="0" applyFont="1" applyBorder="1" applyAlignment="1">
      <alignment horizontal="left" wrapText="1"/>
    </xf>
    <xf numFmtId="0" fontId="20" fillId="0" borderId="0" xfId="0" applyFont="1" applyFill="1" applyBorder="1" applyAlignment="1">
      <alignment horizontal="left" wrapText="1"/>
    </xf>
    <xf numFmtId="0" fontId="10" fillId="4" borderId="0" xfId="0" applyFont="1" applyFill="1" applyBorder="1" applyAlignment="1">
      <alignment horizontal="left" wrapText="1"/>
    </xf>
    <xf numFmtId="0" fontId="11" fillId="3" borderId="10" xfId="0" applyFont="1" applyFill="1" applyBorder="1" applyAlignment="1">
      <alignment vertical="center" wrapText="1"/>
    </xf>
    <xf numFmtId="0" fontId="10" fillId="4" borderId="0" xfId="0" applyNumberFormat="1" applyFont="1" applyFill="1" applyBorder="1" applyAlignment="1">
      <alignment wrapText="1"/>
    </xf>
    <xf numFmtId="0" fontId="10" fillId="4" borderId="0" xfId="0" applyFont="1" applyFill="1" applyBorder="1" applyAlignment="1">
      <alignment horizontal="left"/>
    </xf>
    <xf numFmtId="0" fontId="21" fillId="0" borderId="10" xfId="0" applyNumberFormat="1" applyFont="1" applyFill="1" applyBorder="1" applyAlignment="1">
      <alignment wrapText="1"/>
    </xf>
    <xf numFmtId="0" fontId="10" fillId="4" borderId="0" xfId="0" applyFont="1" applyFill="1" applyBorder="1" applyAlignment="1">
      <alignment wrapText="1"/>
    </xf>
  </cellXfs>
  <cellStyles count="104">
    <cellStyle name="20% - Accent4 2" xfId="2"/>
    <cellStyle name="20% - Accent4 2 2" xfId="3"/>
    <cellStyle name="20% - Accent4 3" xfId="4"/>
    <cellStyle name="COMMA" xfId="5"/>
    <cellStyle name="COMMA 2" xfId="6"/>
    <cellStyle name="COMMA 2 2" xfId="7"/>
    <cellStyle name="CURRENCY" xfId="8"/>
    <cellStyle name="CURRENCY 2" xfId="9"/>
    <cellStyle name="CURRENCY 2 2" xfId="10"/>
    <cellStyle name="DATE" xfId="11"/>
    <cellStyle name="DATE 2" xfId="12"/>
    <cellStyle name="DATE 2 2" xfId="13"/>
    <cellStyle name="Datum" xfId="14"/>
    <cellStyle name="Datum 2" xfId="15"/>
    <cellStyle name="Datum 2 2" xfId="16"/>
    <cellStyle name="Euro" xfId="17"/>
    <cellStyle name="Euro 2" xfId="18"/>
    <cellStyle name="Euro 2 2" xfId="19"/>
    <cellStyle name="FIXED" xfId="20"/>
    <cellStyle name="FIXED 2" xfId="21"/>
    <cellStyle name="FIXED 2 2" xfId="22"/>
    <cellStyle name="HEADING1 1" xfId="23"/>
    <cellStyle name="HEADING1 2" xfId="24"/>
    <cellStyle name="HEADING1 2 2" xfId="25"/>
    <cellStyle name="HEADING2" xfId="26"/>
    <cellStyle name="HEADING2 2" xfId="27"/>
    <cellStyle name="HEADING2 2 2" xfId="28"/>
    <cellStyle name="Hyperlink 2" xfId="29"/>
    <cellStyle name="Komma" xfId="1" builtinId="3"/>
    <cellStyle name="Komma 2" xfId="30"/>
    <cellStyle name="Komma 2 2" xfId="31"/>
    <cellStyle name="Komma 3" xfId="32"/>
    <cellStyle name="Komma 4" xfId="33"/>
    <cellStyle name="Komma 5" xfId="34"/>
    <cellStyle name="Komma0" xfId="35"/>
    <cellStyle name="Komma0 2" xfId="36"/>
    <cellStyle name="Komma0 2 2" xfId="37"/>
    <cellStyle name="Koptekst 1" xfId="38"/>
    <cellStyle name="Koptekst 1 2" xfId="39"/>
    <cellStyle name="Koptekst 1 2 2" xfId="40"/>
    <cellStyle name="Koptekst 2" xfId="41"/>
    <cellStyle name="Koptekst 2 2" xfId="42"/>
    <cellStyle name="Koptekst 2 2 2" xfId="43"/>
    <cellStyle name="NORMAL" xfId="44"/>
    <cellStyle name="Normal 13" xfId="45"/>
    <cellStyle name="Normal 2" xfId="46"/>
    <cellStyle name="Normal 2 2" xfId="47"/>
    <cellStyle name="NORMAL 3" xfId="48"/>
    <cellStyle name="NORMAL 3 2" xfId="49"/>
    <cellStyle name="Normal_Sheet1_1" xfId="50"/>
    <cellStyle name="PERCENT" xfId="51"/>
    <cellStyle name="PERCENT 2" xfId="52"/>
    <cellStyle name="PERCENT 2 2" xfId="53"/>
    <cellStyle name="Procent 2" xfId="54"/>
    <cellStyle name="Procent 2 2" xfId="55"/>
    <cellStyle name="Procent 3" xfId="56"/>
    <cellStyle name="Procent 3 2" xfId="57"/>
    <cellStyle name="Procent 4" xfId="58"/>
    <cellStyle name="Procent 5" xfId="59"/>
    <cellStyle name="Standaard" xfId="0" builtinId="0"/>
    <cellStyle name="Standaard 2" xfId="60"/>
    <cellStyle name="Standaard 2 2" xfId="61"/>
    <cellStyle name="Standaard 2 2 2" xfId="62"/>
    <cellStyle name="Standaard 2 3" xfId="63"/>
    <cellStyle name="Standaard 2 4" xfId="64"/>
    <cellStyle name="Standaard 2 4 2" xfId="65"/>
    <cellStyle name="Standaard 2 5" xfId="66"/>
    <cellStyle name="Standaard 2 6" xfId="67"/>
    <cellStyle name="Standaard 2 6 2" xfId="68"/>
    <cellStyle name="Standaard 2_Blad13" xfId="69"/>
    <cellStyle name="Standaard 3" xfId="70"/>
    <cellStyle name="Standaard 3 2" xfId="71"/>
    <cellStyle name="Standaard 4" xfId="72"/>
    <cellStyle name="Standaard 4 2" xfId="73"/>
    <cellStyle name="Standaard 4 2 2" xfId="74"/>
    <cellStyle name="Standaard 4 2 2 2" xfId="75"/>
    <cellStyle name="Standaard 4 2 3" xfId="76"/>
    <cellStyle name="Standaard 4 3" xfId="77"/>
    <cellStyle name="Standaard 4 3 2" xfId="78"/>
    <cellStyle name="Standaard 4 4" xfId="79"/>
    <cellStyle name="Standaard 5" xfId="80"/>
    <cellStyle name="Standaard 5 2" xfId="81"/>
    <cellStyle name="Standaard 6" xfId="82"/>
    <cellStyle name="Standaard 6 2" xfId="83"/>
    <cellStyle name="Standaard 6 3" xfId="84"/>
    <cellStyle name="Standaard 7" xfId="85"/>
    <cellStyle name="Standaard 7 2" xfId="86"/>
    <cellStyle name="Standaard 7 2 2" xfId="87"/>
    <cellStyle name="Standaard 7 3" xfId="88"/>
    <cellStyle name="Standaard 8" xfId="89"/>
    <cellStyle name="Totaal 2" xfId="90"/>
    <cellStyle name="Totaal 2 2" xfId="91"/>
    <cellStyle name="Totaal 3" xfId="92"/>
    <cellStyle name="Totaal 4" xfId="93"/>
    <cellStyle name="Totaal 5" xfId="94"/>
    <cellStyle name="TOTAL" xfId="95"/>
    <cellStyle name="TOTAL 2" xfId="96"/>
    <cellStyle name="TOTAL 2 2" xfId="97"/>
    <cellStyle name="Valuta0" xfId="98"/>
    <cellStyle name="Valuta0 2" xfId="99"/>
    <cellStyle name="Valuta0 2 2" xfId="100"/>
    <cellStyle name="Vast" xfId="101"/>
    <cellStyle name="Vast 2" xfId="102"/>
    <cellStyle name="Vast 2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W162"/>
  <sheetViews>
    <sheetView workbookViewId="0">
      <selection activeCell="C36" sqref="C36"/>
    </sheetView>
  </sheetViews>
  <sheetFormatPr defaultRowHeight="9"/>
  <cols>
    <col min="1" max="1" width="34.140625" style="1" customWidth="1"/>
    <col min="2" max="2" width="9.7109375" style="1" customWidth="1"/>
    <col min="3" max="3" width="19.42578125" style="1" customWidth="1"/>
    <col min="4" max="16384" width="9.140625" style="1"/>
  </cols>
  <sheetData>
    <row r="1" spans="1:3">
      <c r="A1" s="2"/>
      <c r="B1" s="2"/>
      <c r="C1" s="2"/>
    </row>
    <row r="2" spans="1:3">
      <c r="A2" s="2" t="s">
        <v>0</v>
      </c>
      <c r="B2" s="2" t="s">
        <v>1</v>
      </c>
      <c r="C2" s="2" t="s">
        <v>2</v>
      </c>
    </row>
    <row r="3" spans="1:3">
      <c r="A3" s="2" t="s">
        <v>3</v>
      </c>
      <c r="B3" s="2" t="s">
        <v>1</v>
      </c>
      <c r="C3" s="2" t="s">
        <v>2</v>
      </c>
    </row>
    <row r="4" spans="1:3">
      <c r="A4" s="2" t="s">
        <v>4</v>
      </c>
      <c r="B4" s="2" t="s">
        <v>1</v>
      </c>
      <c r="C4" s="2" t="s">
        <v>5</v>
      </c>
    </row>
    <row r="5" spans="1:3">
      <c r="A5" s="2"/>
    </row>
    <row r="6" spans="1:3">
      <c r="A6" s="2" t="s">
        <v>6</v>
      </c>
      <c r="B6" s="2" t="s">
        <v>1</v>
      </c>
      <c r="C6" s="3">
        <v>2012</v>
      </c>
    </row>
    <row r="7" spans="1:3" ht="12.75" customHeight="1">
      <c r="A7" s="116" t="s">
        <v>7</v>
      </c>
      <c r="B7" s="116" t="s">
        <v>1</v>
      </c>
      <c r="C7" s="2" t="s">
        <v>8</v>
      </c>
    </row>
    <row r="8" spans="1:3">
      <c r="A8" s="116"/>
      <c r="B8" s="116"/>
      <c r="C8" s="2" t="s">
        <v>9</v>
      </c>
    </row>
    <row r="9" spans="1:3">
      <c r="A9" s="116"/>
      <c r="B9" s="116"/>
      <c r="C9" s="2" t="s">
        <v>10</v>
      </c>
    </row>
    <row r="10" spans="1:3">
      <c r="A10" s="116"/>
      <c r="B10" s="116"/>
      <c r="C10" s="2" t="s">
        <v>11</v>
      </c>
    </row>
    <row r="11" spans="1:3">
      <c r="A11" s="116"/>
      <c r="B11" s="116"/>
      <c r="C11" s="2" t="s">
        <v>12</v>
      </c>
    </row>
    <row r="12" spans="1:3">
      <c r="A12" s="2" t="s">
        <v>13</v>
      </c>
      <c r="B12" s="2" t="s">
        <v>1</v>
      </c>
      <c r="C12" s="2" t="s">
        <v>14</v>
      </c>
    </row>
    <row r="13" spans="1:3">
      <c r="A13" s="2" t="s">
        <v>15</v>
      </c>
      <c r="B13" s="2" t="s">
        <v>1</v>
      </c>
      <c r="C13" s="2" t="s">
        <v>16</v>
      </c>
    </row>
    <row r="14" spans="1:3">
      <c r="A14" s="2"/>
    </row>
    <row r="17" spans="1:15">
      <c r="A17" s="2"/>
      <c r="B17" s="2"/>
      <c r="C17" s="2"/>
      <c r="D17" s="2"/>
      <c r="E17" s="2"/>
      <c r="F17" s="2"/>
      <c r="G17" s="2"/>
      <c r="H17" s="2"/>
    </row>
    <row r="18" spans="1:15" ht="9.75" customHeight="1">
      <c r="A18" s="2" t="s">
        <v>17</v>
      </c>
      <c r="B18" s="117" t="s">
        <v>18</v>
      </c>
      <c r="C18" s="117"/>
      <c r="D18" s="117"/>
      <c r="E18" s="117"/>
      <c r="F18" s="117"/>
      <c r="G18" s="117"/>
      <c r="H18" s="117"/>
    </row>
    <row r="19" spans="1:15">
      <c r="A19" s="4" t="s">
        <v>19</v>
      </c>
      <c r="B19" s="5">
        <v>2011</v>
      </c>
      <c r="C19" s="5">
        <v>2012</v>
      </c>
      <c r="D19" s="5">
        <v>2013</v>
      </c>
      <c r="E19" s="5">
        <v>2014</v>
      </c>
      <c r="F19" s="5">
        <v>2015</v>
      </c>
      <c r="G19" s="5">
        <v>2016</v>
      </c>
      <c r="H19" s="5">
        <v>2017</v>
      </c>
    </row>
    <row r="20" spans="1:15">
      <c r="A20" s="2" t="s">
        <v>20</v>
      </c>
      <c r="B20" s="6">
        <v>64412903</v>
      </c>
      <c r="C20" s="6">
        <v>67187362</v>
      </c>
      <c r="D20" s="6">
        <v>70756229</v>
      </c>
      <c r="E20" s="6">
        <v>74611016</v>
      </c>
      <c r="F20" s="6">
        <v>77842210</v>
      </c>
      <c r="G20" s="6">
        <v>82099019</v>
      </c>
      <c r="H20" s="7"/>
    </row>
    <row r="21" spans="1:15">
      <c r="A21" s="2"/>
    </row>
    <row r="22" spans="1:15">
      <c r="A22" s="2"/>
    </row>
    <row r="23" spans="1:15">
      <c r="A23" s="2" t="s">
        <v>21</v>
      </c>
      <c r="B23" s="6">
        <v>1786992</v>
      </c>
      <c r="C23" s="6">
        <v>1773097</v>
      </c>
      <c r="D23" s="6">
        <v>1657016</v>
      </c>
      <c r="E23" s="6">
        <v>1675164</v>
      </c>
      <c r="F23" s="6">
        <v>1731102</v>
      </c>
      <c r="G23" s="6">
        <v>1740369</v>
      </c>
      <c r="H23" s="7"/>
      <c r="J23" s="8"/>
      <c r="K23" s="8"/>
      <c r="L23" s="8"/>
      <c r="M23" s="8"/>
      <c r="N23" s="8"/>
      <c r="O23" s="8"/>
    </row>
    <row r="24" spans="1:15">
      <c r="A24" s="2"/>
    </row>
    <row r="25" spans="1:15">
      <c r="A25" s="9" t="s">
        <v>22</v>
      </c>
      <c r="B25" s="6">
        <v>1146889</v>
      </c>
      <c r="C25" s="6">
        <v>1159390</v>
      </c>
      <c r="D25" s="6">
        <v>1223364</v>
      </c>
      <c r="E25" s="6">
        <v>1281340</v>
      </c>
      <c r="F25" s="6">
        <v>1331818</v>
      </c>
      <c r="G25" s="6">
        <v>1335054</v>
      </c>
      <c r="H25" s="7"/>
    </row>
    <row r="26" spans="1:15">
      <c r="A26" s="10" t="s">
        <v>23</v>
      </c>
      <c r="B26" s="6">
        <v>1146889</v>
      </c>
      <c r="C26" s="6">
        <v>1159390</v>
      </c>
      <c r="D26" s="6">
        <v>1223364</v>
      </c>
      <c r="E26" s="6">
        <v>1281340</v>
      </c>
      <c r="F26" s="6">
        <v>1331818</v>
      </c>
      <c r="G26" s="6">
        <v>1335054</v>
      </c>
      <c r="H26" s="7"/>
    </row>
    <row r="27" spans="1:15">
      <c r="A27" s="11" t="s">
        <v>24</v>
      </c>
      <c r="B27" s="6">
        <v>1105112</v>
      </c>
      <c r="C27" s="6">
        <v>1119494</v>
      </c>
      <c r="D27" s="6">
        <v>1180659</v>
      </c>
      <c r="E27" s="6">
        <v>1235622</v>
      </c>
      <c r="F27" s="6">
        <v>1282887</v>
      </c>
      <c r="G27" s="6">
        <v>1287423</v>
      </c>
      <c r="H27" s="7"/>
      <c r="I27" s="8">
        <f>C27-H136</f>
        <v>0</v>
      </c>
      <c r="J27" s="8">
        <f>D27-I136</f>
        <v>0</v>
      </c>
      <c r="K27" s="8">
        <f>E27-J136</f>
        <v>0</v>
      </c>
      <c r="L27" s="8">
        <f>F27-K136</f>
        <v>0</v>
      </c>
      <c r="M27" s="8">
        <f>G27-L136</f>
        <v>0</v>
      </c>
      <c r="N27" s="8"/>
      <c r="O27" s="8"/>
    </row>
    <row r="28" spans="1:15">
      <c r="A28" s="11" t="s">
        <v>25</v>
      </c>
      <c r="B28" s="6">
        <v>41777</v>
      </c>
      <c r="C28" s="6">
        <v>39896</v>
      </c>
      <c r="D28" s="6">
        <v>42705</v>
      </c>
      <c r="E28" s="6">
        <v>45718</v>
      </c>
      <c r="F28" s="6">
        <v>48931</v>
      </c>
      <c r="G28" s="6">
        <v>47631</v>
      </c>
      <c r="H28" s="7"/>
      <c r="I28" s="8">
        <f>C28-H140</f>
        <v>0</v>
      </c>
      <c r="J28" s="8">
        <f>D28-I140</f>
        <v>0</v>
      </c>
      <c r="K28" s="8">
        <f>E28-J140</f>
        <v>0</v>
      </c>
      <c r="L28" s="8">
        <f>F28-K140</f>
        <v>0</v>
      </c>
      <c r="M28" s="8">
        <f>G28-L140</f>
        <v>0</v>
      </c>
      <c r="N28" s="8"/>
      <c r="O28" s="8"/>
    </row>
    <row r="29" spans="1:15">
      <c r="A29" s="2"/>
    </row>
    <row r="30" spans="1:15">
      <c r="A30" s="9" t="s">
        <v>26</v>
      </c>
      <c r="B30" s="6">
        <v>632838</v>
      </c>
      <c r="C30" s="6">
        <v>616739</v>
      </c>
      <c r="D30" s="6">
        <v>434032</v>
      </c>
      <c r="E30" s="6">
        <v>394137</v>
      </c>
      <c r="F30" s="6">
        <v>399558</v>
      </c>
      <c r="G30" s="6">
        <v>405430</v>
      </c>
      <c r="H30" s="7"/>
    </row>
    <row r="31" spans="1:15">
      <c r="A31" s="10" t="s">
        <v>23</v>
      </c>
      <c r="B31" s="6">
        <v>632838</v>
      </c>
      <c r="C31" s="6">
        <v>616739</v>
      </c>
      <c r="D31" s="6">
        <v>434032</v>
      </c>
      <c r="E31" s="6">
        <v>394137</v>
      </c>
      <c r="F31" s="6">
        <v>399558</v>
      </c>
      <c r="G31" s="6">
        <v>405430</v>
      </c>
      <c r="H31" s="7"/>
    </row>
    <row r="32" spans="1:15">
      <c r="A32" s="11" t="s">
        <v>27</v>
      </c>
      <c r="B32" s="6">
        <v>632838</v>
      </c>
      <c r="C32" s="6">
        <v>616739</v>
      </c>
      <c r="D32" s="6">
        <v>434032</v>
      </c>
      <c r="E32" s="6">
        <v>394137</v>
      </c>
      <c r="F32" s="6">
        <v>399558</v>
      </c>
      <c r="G32" s="6">
        <v>405430</v>
      </c>
      <c r="H32" s="7"/>
      <c r="I32" s="8">
        <f>C32-H144</f>
        <v>0</v>
      </c>
      <c r="J32" s="8">
        <f>D32-I144</f>
        <v>0</v>
      </c>
      <c r="K32" s="8">
        <f>E32-J144</f>
        <v>0</v>
      </c>
      <c r="L32" s="8">
        <f>F32-K144</f>
        <v>0</v>
      </c>
      <c r="M32" s="8">
        <f>G32-L144</f>
        <v>0</v>
      </c>
      <c r="N32" s="8"/>
      <c r="O32" s="8"/>
    </row>
    <row r="33" spans="1:8">
      <c r="A33" s="2"/>
    </row>
    <row r="34" spans="1:8">
      <c r="A34" s="9" t="s">
        <v>28</v>
      </c>
      <c r="B34" s="6">
        <v>7265</v>
      </c>
      <c r="C34" s="6">
        <v>-3032</v>
      </c>
      <c r="D34" s="7">
        <v>-380</v>
      </c>
      <c r="E34" s="7">
        <v>-313</v>
      </c>
      <c r="F34" s="7">
        <v>-274</v>
      </c>
      <c r="G34" s="7">
        <v>-115</v>
      </c>
      <c r="H34" s="7"/>
    </row>
    <row r="35" spans="1:8">
      <c r="A35" s="10" t="s">
        <v>23</v>
      </c>
      <c r="B35" s="6">
        <v>7265</v>
      </c>
      <c r="C35" s="6">
        <v>-3032</v>
      </c>
      <c r="D35" s="7">
        <v>-380</v>
      </c>
      <c r="E35" s="7">
        <v>-313</v>
      </c>
      <c r="F35" s="7">
        <v>-274</v>
      </c>
      <c r="G35" s="7">
        <v>-115</v>
      </c>
      <c r="H35" s="7"/>
    </row>
    <row r="36" spans="1:8">
      <c r="A36" s="11" t="s">
        <v>29</v>
      </c>
      <c r="B36" s="6">
        <v>7265</v>
      </c>
      <c r="C36" s="6">
        <v>-3032</v>
      </c>
      <c r="D36" s="7">
        <v>-380</v>
      </c>
      <c r="E36" s="7">
        <v>-313</v>
      </c>
      <c r="F36" s="7">
        <v>-274</v>
      </c>
      <c r="G36" s="7">
        <v>-115</v>
      </c>
      <c r="H36" s="7"/>
    </row>
    <row r="37" spans="1:8">
      <c r="A37" s="2"/>
    </row>
    <row r="38" spans="1:8">
      <c r="A38" s="2"/>
    </row>
    <row r="39" spans="1:8" ht="18">
      <c r="A39" s="2" t="s">
        <v>30</v>
      </c>
      <c r="B39" s="6">
        <v>61169925</v>
      </c>
      <c r="C39" s="6">
        <v>63916978</v>
      </c>
      <c r="D39" s="6">
        <v>67546966</v>
      </c>
      <c r="E39" s="6">
        <v>71321013</v>
      </c>
      <c r="F39" s="6">
        <v>74431292</v>
      </c>
      <c r="G39" s="6">
        <v>78614528</v>
      </c>
      <c r="H39" s="7"/>
    </row>
    <row r="40" spans="1:8">
      <c r="A40" s="2"/>
    </row>
    <row r="41" spans="1:8">
      <c r="A41" s="9" t="s">
        <v>31</v>
      </c>
      <c r="B41" s="6">
        <v>109300</v>
      </c>
      <c r="C41" s="6">
        <v>111800</v>
      </c>
      <c r="D41" s="6">
        <v>114500</v>
      </c>
      <c r="E41" s="6">
        <v>117200</v>
      </c>
      <c r="F41" s="6">
        <v>118600</v>
      </c>
      <c r="G41" s="6">
        <v>118550</v>
      </c>
      <c r="H41" s="7"/>
    </row>
    <row r="42" spans="1:8">
      <c r="A42" s="10" t="s">
        <v>32</v>
      </c>
      <c r="B42" s="6">
        <v>109300</v>
      </c>
      <c r="C42" s="6">
        <v>111800</v>
      </c>
      <c r="D42" s="6">
        <v>114500</v>
      </c>
      <c r="E42" s="6">
        <v>117200</v>
      </c>
      <c r="F42" s="6">
        <v>118600</v>
      </c>
      <c r="G42" s="6">
        <v>118550</v>
      </c>
      <c r="H42" s="7"/>
    </row>
    <row r="43" spans="1:8">
      <c r="A43" s="11" t="s">
        <v>33</v>
      </c>
      <c r="B43" s="6">
        <v>109300</v>
      </c>
      <c r="C43" s="6">
        <v>111800</v>
      </c>
      <c r="D43" s="6">
        <v>114500</v>
      </c>
      <c r="E43" s="6">
        <v>117200</v>
      </c>
      <c r="F43" s="6">
        <v>118600</v>
      </c>
      <c r="G43" s="6">
        <v>118550</v>
      </c>
      <c r="H43" s="7"/>
    </row>
    <row r="44" spans="1:8">
      <c r="A44" s="2"/>
    </row>
    <row r="45" spans="1:8">
      <c r="A45" s="9" t="s">
        <v>22</v>
      </c>
      <c r="B45" s="6">
        <v>36166652</v>
      </c>
      <c r="C45" s="6">
        <v>36012923</v>
      </c>
      <c r="D45" s="6">
        <v>37273292</v>
      </c>
      <c r="E45" s="6">
        <v>38534651</v>
      </c>
      <c r="F45" s="6">
        <v>40045333</v>
      </c>
      <c r="G45" s="6">
        <v>39963301</v>
      </c>
      <c r="H45" s="7"/>
    </row>
    <row r="46" spans="1:8">
      <c r="A46" s="10" t="s">
        <v>32</v>
      </c>
      <c r="B46" s="6">
        <v>36166652</v>
      </c>
      <c r="C46" s="6">
        <v>36012923</v>
      </c>
      <c r="D46" s="6">
        <v>37273292</v>
      </c>
      <c r="E46" s="6">
        <v>38534651</v>
      </c>
      <c r="F46" s="6">
        <v>40045333</v>
      </c>
      <c r="G46" s="6">
        <v>39963301</v>
      </c>
      <c r="H46" s="7"/>
    </row>
    <row r="47" spans="1:8">
      <c r="A47" s="11" t="s">
        <v>34</v>
      </c>
      <c r="B47" s="6">
        <v>4370860</v>
      </c>
      <c r="C47" s="6">
        <v>4121560</v>
      </c>
      <c r="D47" s="6">
        <v>4223100</v>
      </c>
      <c r="E47" s="6">
        <v>4326200</v>
      </c>
      <c r="F47" s="6">
        <v>4475200</v>
      </c>
      <c r="G47" s="6">
        <v>4475316</v>
      </c>
      <c r="H47" s="7"/>
    </row>
    <row r="48" spans="1:8" ht="18">
      <c r="A48" s="11" t="s">
        <v>35</v>
      </c>
      <c r="B48" s="6">
        <v>19272892</v>
      </c>
      <c r="C48" s="6">
        <v>19660820</v>
      </c>
      <c r="D48" s="6">
        <v>20222950</v>
      </c>
      <c r="E48" s="6">
        <v>20770508</v>
      </c>
      <c r="F48" s="6">
        <v>21457193</v>
      </c>
      <c r="G48" s="6">
        <v>21438529</v>
      </c>
      <c r="H48" s="7"/>
    </row>
    <row r="49" spans="1:8">
      <c r="A49" s="11" t="s">
        <v>36</v>
      </c>
      <c r="B49" s="6">
        <v>571000</v>
      </c>
      <c r="C49" s="6">
        <v>583200</v>
      </c>
      <c r="D49" s="6">
        <v>597400</v>
      </c>
      <c r="E49" s="6">
        <v>627300</v>
      </c>
      <c r="F49" s="6">
        <v>668100</v>
      </c>
      <c r="G49" s="6">
        <v>668100</v>
      </c>
      <c r="H49" s="7"/>
    </row>
    <row r="50" spans="1:8">
      <c r="A50" s="11" t="s">
        <v>37</v>
      </c>
      <c r="B50" s="6">
        <v>6935000</v>
      </c>
      <c r="C50" s="6">
        <v>6926543</v>
      </c>
      <c r="D50" s="6">
        <v>7375842</v>
      </c>
      <c r="E50" s="6">
        <v>7793643</v>
      </c>
      <c r="F50" s="6">
        <v>8235340</v>
      </c>
      <c r="G50" s="6">
        <v>8223341</v>
      </c>
      <c r="H50" s="7"/>
    </row>
    <row r="51" spans="1:8">
      <c r="A51" s="11" t="s">
        <v>38</v>
      </c>
      <c r="B51" s="6">
        <v>568600</v>
      </c>
      <c r="C51" s="6">
        <v>557900</v>
      </c>
      <c r="D51" s="6">
        <v>547900</v>
      </c>
      <c r="E51" s="6">
        <v>569000</v>
      </c>
      <c r="F51" s="6">
        <v>600700</v>
      </c>
      <c r="G51" s="6">
        <v>600700</v>
      </c>
      <c r="H51" s="7"/>
    </row>
    <row r="52" spans="1:8">
      <c r="A52" s="11" t="s">
        <v>39</v>
      </c>
      <c r="B52" s="6">
        <v>4094700</v>
      </c>
      <c r="C52" s="6">
        <v>3826600</v>
      </c>
      <c r="D52" s="6">
        <v>3961800</v>
      </c>
      <c r="E52" s="6">
        <v>4095500</v>
      </c>
      <c r="F52" s="6">
        <v>4244500</v>
      </c>
      <c r="G52" s="6">
        <v>4193015</v>
      </c>
      <c r="H52" s="7"/>
    </row>
    <row r="53" spans="1:8">
      <c r="A53" s="11" t="s">
        <v>40</v>
      </c>
      <c r="B53" s="6">
        <v>5800</v>
      </c>
      <c r="C53" s="7"/>
      <c r="D53" s="7"/>
      <c r="E53" s="7"/>
      <c r="F53" s="7"/>
      <c r="G53" s="7"/>
      <c r="H53" s="7"/>
    </row>
    <row r="54" spans="1:8">
      <c r="A54" s="11" t="s">
        <v>41</v>
      </c>
      <c r="B54" s="6">
        <v>347800</v>
      </c>
      <c r="C54" s="6">
        <v>336300</v>
      </c>
      <c r="D54" s="6">
        <v>344300</v>
      </c>
      <c r="E54" s="6">
        <v>352500</v>
      </c>
      <c r="F54" s="6">
        <v>364300</v>
      </c>
      <c r="G54" s="6">
        <v>364300</v>
      </c>
      <c r="H54" s="7"/>
    </row>
    <row r="55" spans="1:8">
      <c r="A55" s="2"/>
    </row>
    <row r="56" spans="1:8">
      <c r="A56" s="9" t="s">
        <v>42</v>
      </c>
      <c r="B56" s="6">
        <v>24645541</v>
      </c>
      <c r="C56" s="6">
        <v>25980023</v>
      </c>
      <c r="D56" s="6">
        <v>26619442</v>
      </c>
      <c r="E56" s="6">
        <v>26643701</v>
      </c>
      <c r="F56" s="6">
        <v>27135327</v>
      </c>
      <c r="G56" s="6">
        <v>26970129</v>
      </c>
      <c r="H56" s="7"/>
    </row>
    <row r="57" spans="1:8">
      <c r="A57" s="10" t="s">
        <v>32</v>
      </c>
      <c r="B57" s="6">
        <v>24645541</v>
      </c>
      <c r="C57" s="6">
        <v>25980023</v>
      </c>
      <c r="D57" s="6">
        <v>26619442</v>
      </c>
      <c r="E57" s="6">
        <v>26643701</v>
      </c>
      <c r="F57" s="6">
        <v>27135327</v>
      </c>
      <c r="G57" s="6">
        <v>26970129</v>
      </c>
      <c r="H57" s="7"/>
    </row>
    <row r="58" spans="1:8">
      <c r="A58" s="11" t="s">
        <v>43</v>
      </c>
      <c r="B58" s="6">
        <v>1281300</v>
      </c>
      <c r="C58" s="6">
        <v>1281300</v>
      </c>
      <c r="D58" s="6">
        <v>1281300</v>
      </c>
      <c r="E58" s="6">
        <v>1281300</v>
      </c>
      <c r="F58" s="6">
        <v>1281300</v>
      </c>
      <c r="G58" s="6">
        <v>1281300</v>
      </c>
      <c r="H58" s="7"/>
    </row>
    <row r="59" spans="1:8">
      <c r="A59" s="11" t="s">
        <v>44</v>
      </c>
      <c r="B59" s="6">
        <v>4436700</v>
      </c>
      <c r="C59" s="6">
        <v>4436700</v>
      </c>
      <c r="D59" s="6">
        <v>4436700</v>
      </c>
      <c r="E59" s="6">
        <v>4436700</v>
      </c>
      <c r="F59" s="6">
        <v>4436700</v>
      </c>
      <c r="G59" s="6">
        <v>4436700</v>
      </c>
      <c r="H59" s="7"/>
    </row>
    <row r="60" spans="1:8">
      <c r="A60" s="11" t="s">
        <v>45</v>
      </c>
      <c r="B60" s="6">
        <v>7636700</v>
      </c>
      <c r="C60" s="6">
        <v>7636700</v>
      </c>
      <c r="D60" s="6">
        <v>7636700</v>
      </c>
      <c r="E60" s="6">
        <v>7636700</v>
      </c>
      <c r="F60" s="6">
        <v>7636700</v>
      </c>
      <c r="G60" s="6">
        <v>7636700</v>
      </c>
      <c r="H60" s="7"/>
    </row>
    <row r="61" spans="1:8">
      <c r="A61" s="11" t="s">
        <v>46</v>
      </c>
      <c r="B61" s="6">
        <v>3603000</v>
      </c>
      <c r="C61" s="6">
        <v>3679900</v>
      </c>
      <c r="D61" s="6">
        <v>3679900</v>
      </c>
      <c r="E61" s="6">
        <v>3679900</v>
      </c>
      <c r="F61" s="6">
        <v>3679900</v>
      </c>
      <c r="G61" s="6">
        <v>3679900</v>
      </c>
      <c r="H61" s="7"/>
    </row>
    <row r="62" spans="1:8">
      <c r="A62" s="11" t="s">
        <v>47</v>
      </c>
      <c r="B62" s="6">
        <v>1180700</v>
      </c>
      <c r="C62" s="6">
        <v>1180700</v>
      </c>
      <c r="D62" s="6">
        <v>1180700</v>
      </c>
      <c r="E62" s="6">
        <v>1180700</v>
      </c>
      <c r="F62" s="6">
        <v>1180700</v>
      </c>
      <c r="G62" s="6">
        <v>1180700</v>
      </c>
      <c r="H62" s="7"/>
    </row>
    <row r="63" spans="1:8">
      <c r="A63" s="11" t="s">
        <v>48</v>
      </c>
      <c r="B63" s="6">
        <v>2593400</v>
      </c>
      <c r="C63" s="6">
        <v>2627400</v>
      </c>
      <c r="D63" s="6">
        <v>2645400</v>
      </c>
      <c r="E63" s="6">
        <v>2623900</v>
      </c>
      <c r="F63" s="6">
        <v>2609400</v>
      </c>
      <c r="G63" s="6">
        <v>2576900</v>
      </c>
      <c r="H63" s="7"/>
    </row>
    <row r="64" spans="1:8">
      <c r="A64" s="11" t="s">
        <v>49</v>
      </c>
      <c r="B64" s="6">
        <v>703700</v>
      </c>
      <c r="C64" s="6">
        <v>679700</v>
      </c>
      <c r="D64" s="6">
        <v>679700</v>
      </c>
      <c r="E64" s="6">
        <v>679700</v>
      </c>
      <c r="F64" s="6">
        <v>679700</v>
      </c>
      <c r="G64" s="6">
        <v>679700</v>
      </c>
      <c r="H64" s="7"/>
    </row>
    <row r="65" spans="1:8">
      <c r="A65" s="11" t="s">
        <v>50</v>
      </c>
      <c r="B65" s="6">
        <v>2278800</v>
      </c>
      <c r="C65" s="6">
        <v>2464700</v>
      </c>
      <c r="D65" s="6">
        <v>2532500</v>
      </c>
      <c r="E65" s="6">
        <v>2194800</v>
      </c>
      <c r="F65" s="6">
        <v>2442800</v>
      </c>
      <c r="G65" s="6">
        <v>2442800</v>
      </c>
      <c r="H65" s="7"/>
    </row>
    <row r="66" spans="1:8">
      <c r="A66" s="11" t="s">
        <v>51</v>
      </c>
      <c r="B66" s="6">
        <v>144400</v>
      </c>
      <c r="C66" s="6">
        <v>129600</v>
      </c>
      <c r="D66" s="6">
        <v>129300</v>
      </c>
      <c r="E66" s="6">
        <v>129300</v>
      </c>
      <c r="F66" s="6">
        <v>129300</v>
      </c>
      <c r="G66" s="6">
        <v>129300</v>
      </c>
      <c r="H66" s="7"/>
    </row>
    <row r="67" spans="1:8">
      <c r="A67" s="11" t="s">
        <v>52</v>
      </c>
      <c r="B67" s="6">
        <v>250750</v>
      </c>
      <c r="C67" s="6">
        <v>206915</v>
      </c>
      <c r="D67" s="6">
        <v>213260</v>
      </c>
      <c r="E67" s="6">
        <v>219604</v>
      </c>
      <c r="F67" s="6">
        <v>223034</v>
      </c>
      <c r="G67" s="6">
        <v>223150</v>
      </c>
      <c r="H67" s="7"/>
    </row>
    <row r="68" spans="1:8">
      <c r="A68" s="11" t="s">
        <v>53</v>
      </c>
      <c r="B68" s="6">
        <v>79156</v>
      </c>
      <c r="C68" s="7">
        <v>0</v>
      </c>
      <c r="D68" s="7">
        <v>0</v>
      </c>
      <c r="E68" s="7">
        <v>0</v>
      </c>
      <c r="F68" s="7">
        <v>0</v>
      </c>
      <c r="G68" s="7">
        <v>0</v>
      </c>
      <c r="H68" s="7"/>
    </row>
    <row r="69" spans="1:8">
      <c r="A69" s="11" t="s">
        <v>54</v>
      </c>
      <c r="B69" s="6">
        <v>456935</v>
      </c>
      <c r="C69" s="6">
        <v>1656408</v>
      </c>
      <c r="D69" s="6">
        <v>2203982</v>
      </c>
      <c r="E69" s="6">
        <v>2581097</v>
      </c>
      <c r="F69" s="6">
        <v>2835793</v>
      </c>
      <c r="G69" s="6">
        <v>2702979</v>
      </c>
      <c r="H69" s="7"/>
    </row>
    <row r="70" spans="1:8">
      <c r="A70" s="2"/>
    </row>
    <row r="71" spans="1:8">
      <c r="A71" s="9" t="s">
        <v>55</v>
      </c>
      <c r="B71" s="6">
        <v>186200</v>
      </c>
      <c r="C71" s="6">
        <v>187600</v>
      </c>
      <c r="D71" s="6">
        <v>180000</v>
      </c>
      <c r="E71" s="6">
        <v>181600</v>
      </c>
      <c r="F71" s="6">
        <v>181000</v>
      </c>
      <c r="G71" s="6">
        <v>181000</v>
      </c>
      <c r="H71" s="7"/>
    </row>
    <row r="72" spans="1:8">
      <c r="A72" s="10" t="s">
        <v>32</v>
      </c>
      <c r="B72" s="6">
        <v>186200</v>
      </c>
      <c r="C72" s="6">
        <v>187600</v>
      </c>
      <c r="D72" s="6">
        <v>180000</v>
      </c>
      <c r="E72" s="6">
        <v>181600</v>
      </c>
      <c r="F72" s="6">
        <v>181000</v>
      </c>
      <c r="G72" s="6">
        <v>181000</v>
      </c>
      <c r="H72" s="7"/>
    </row>
    <row r="73" spans="1:8">
      <c r="A73" s="11" t="s">
        <v>56</v>
      </c>
      <c r="B73" s="6">
        <v>186200</v>
      </c>
      <c r="C73" s="6">
        <v>187600</v>
      </c>
      <c r="D73" s="6">
        <v>180000</v>
      </c>
      <c r="E73" s="6">
        <v>181600</v>
      </c>
      <c r="F73" s="6">
        <v>181000</v>
      </c>
      <c r="G73" s="6">
        <v>181000</v>
      </c>
      <c r="H73" s="7"/>
    </row>
    <row r="74" spans="1:8">
      <c r="A74" s="2"/>
    </row>
    <row r="75" spans="1:8">
      <c r="A75" s="9" t="s">
        <v>28</v>
      </c>
      <c r="B75" s="6">
        <v>62232</v>
      </c>
      <c r="C75" s="6">
        <v>1624632</v>
      </c>
      <c r="D75" s="6">
        <v>3359732</v>
      </c>
      <c r="E75" s="6">
        <v>5843861</v>
      </c>
      <c r="F75" s="6">
        <v>6951032</v>
      </c>
      <c r="G75" s="6">
        <v>11381548</v>
      </c>
      <c r="H75" s="7"/>
    </row>
    <row r="76" spans="1:8">
      <c r="A76" s="10" t="s">
        <v>32</v>
      </c>
      <c r="B76" s="6">
        <v>62232</v>
      </c>
      <c r="C76" s="6">
        <v>1624632</v>
      </c>
      <c r="D76" s="6">
        <v>3359732</v>
      </c>
      <c r="E76" s="6">
        <v>5843861</v>
      </c>
      <c r="F76" s="6">
        <v>6951032</v>
      </c>
      <c r="G76" s="6">
        <v>11381548</v>
      </c>
      <c r="H76" s="7"/>
    </row>
    <row r="77" spans="1:8">
      <c r="A77" s="11" t="s">
        <v>57</v>
      </c>
      <c r="B77" s="6">
        <v>62232</v>
      </c>
      <c r="C77" s="6">
        <v>-242268</v>
      </c>
      <c r="D77" s="6">
        <v>-435068</v>
      </c>
      <c r="E77" s="6">
        <v>-70539</v>
      </c>
      <c r="F77" s="6">
        <v>-1008668</v>
      </c>
      <c r="G77" s="6">
        <v>1390648</v>
      </c>
      <c r="H77" s="7"/>
    </row>
    <row r="78" spans="1:8">
      <c r="A78" s="11" t="s">
        <v>58</v>
      </c>
      <c r="B78" s="7">
        <v>0</v>
      </c>
      <c r="C78" s="6">
        <v>1866900</v>
      </c>
      <c r="D78" s="6">
        <v>3794800</v>
      </c>
      <c r="E78" s="6">
        <v>5914400</v>
      </c>
      <c r="F78" s="6">
        <v>7959700</v>
      </c>
      <c r="G78" s="6">
        <v>9990900</v>
      </c>
      <c r="H78" s="7"/>
    </row>
    <row r="79" spans="1:8">
      <c r="A79" s="2"/>
    </row>
    <row r="80" spans="1:8">
      <c r="A80" s="2"/>
    </row>
    <row r="81" spans="1:15">
      <c r="A81" s="2" t="s">
        <v>59</v>
      </c>
      <c r="B81" s="6">
        <v>1455986</v>
      </c>
      <c r="C81" s="6">
        <v>1441486</v>
      </c>
      <c r="D81" s="6">
        <v>1441486</v>
      </c>
      <c r="E81" s="6">
        <v>1441486</v>
      </c>
      <c r="F81" s="6">
        <v>1441486</v>
      </c>
      <c r="G81" s="6">
        <v>1441486</v>
      </c>
      <c r="H81" s="7"/>
    </row>
    <row r="82" spans="1:15">
      <c r="A82" s="2"/>
    </row>
    <row r="83" spans="1:15">
      <c r="A83" s="9" t="s">
        <v>60</v>
      </c>
      <c r="B83" s="6">
        <v>1455986</v>
      </c>
      <c r="C83" s="6">
        <v>1441486</v>
      </c>
      <c r="D83" s="6">
        <v>1441486</v>
      </c>
      <c r="E83" s="6">
        <v>1441486</v>
      </c>
      <c r="F83" s="6">
        <v>1441486</v>
      </c>
      <c r="G83" s="6">
        <v>1441486</v>
      </c>
      <c r="H83" s="7"/>
    </row>
    <row r="84" spans="1:15">
      <c r="A84" s="10" t="s">
        <v>61</v>
      </c>
      <c r="B84" s="6">
        <v>1455986</v>
      </c>
      <c r="C84" s="6">
        <v>1441486</v>
      </c>
      <c r="D84" s="6">
        <v>1441486</v>
      </c>
      <c r="E84" s="6">
        <v>1441486</v>
      </c>
      <c r="F84" s="6">
        <v>1441486</v>
      </c>
      <c r="G84" s="6">
        <v>1441486</v>
      </c>
      <c r="H84" s="7"/>
    </row>
    <row r="85" spans="1:15">
      <c r="A85" s="11" t="s">
        <v>62</v>
      </c>
      <c r="B85" s="6">
        <v>1455986</v>
      </c>
      <c r="C85" s="6">
        <v>1441486</v>
      </c>
      <c r="D85" s="6">
        <v>1441486</v>
      </c>
      <c r="E85" s="6">
        <v>1441486</v>
      </c>
      <c r="F85" s="6">
        <v>1441486</v>
      </c>
      <c r="G85" s="6">
        <v>1441486</v>
      </c>
      <c r="H85" s="7"/>
      <c r="I85" s="8">
        <f>C85-H149</f>
        <v>0</v>
      </c>
      <c r="J85" s="8">
        <f>D85-I149</f>
        <v>0</v>
      </c>
      <c r="K85" s="8">
        <f>E85-J149</f>
        <v>0</v>
      </c>
      <c r="L85" s="8">
        <f>F85-K149</f>
        <v>0</v>
      </c>
      <c r="M85" s="8">
        <f>G85-L149</f>
        <v>0</v>
      </c>
      <c r="N85" s="8"/>
      <c r="O85" s="8"/>
    </row>
    <row r="86" spans="1:15">
      <c r="A86" s="2"/>
    </row>
    <row r="87" spans="1:15">
      <c r="A87" s="2"/>
    </row>
    <row r="88" spans="1:15">
      <c r="A88" s="2" t="s">
        <v>63</v>
      </c>
      <c r="B88" s="7">
        <v>0</v>
      </c>
      <c r="C88" s="6">
        <v>22564</v>
      </c>
      <c r="D88" s="6">
        <v>45570</v>
      </c>
      <c r="E88" s="6">
        <v>69198</v>
      </c>
      <c r="F88" s="6">
        <v>94348</v>
      </c>
      <c r="G88" s="6">
        <v>121161</v>
      </c>
      <c r="H88" s="7"/>
    </row>
    <row r="89" spans="1:15">
      <c r="A89" s="2"/>
    </row>
    <row r="90" spans="1:15">
      <c r="A90" s="9" t="s">
        <v>64</v>
      </c>
      <c r="B90" s="7">
        <v>0</v>
      </c>
      <c r="C90" s="6">
        <v>22564</v>
      </c>
      <c r="D90" s="6">
        <v>45570</v>
      </c>
      <c r="E90" s="6">
        <v>69198</v>
      </c>
      <c r="F90" s="6">
        <v>94348</v>
      </c>
      <c r="G90" s="6">
        <v>121161</v>
      </c>
      <c r="H90" s="7"/>
      <c r="I90" s="8">
        <f>C90-H153</f>
        <v>0</v>
      </c>
      <c r="J90" s="8">
        <f>D90-I153</f>
        <v>0</v>
      </c>
      <c r="K90" s="8">
        <f>E90-J153</f>
        <v>0</v>
      </c>
      <c r="L90" s="8">
        <f>F90-K153</f>
        <v>0</v>
      </c>
      <c r="M90" s="8">
        <f>G90-L153</f>
        <v>0</v>
      </c>
      <c r="N90" s="8"/>
      <c r="O90" s="8"/>
    </row>
    <row r="91" spans="1:15">
      <c r="A91" s="2"/>
    </row>
    <row r="92" spans="1:15">
      <c r="A92" s="2"/>
    </row>
    <row r="93" spans="1:15">
      <c r="A93" s="2" t="s">
        <v>65</v>
      </c>
      <c r="B93" s="7">
        <v>-1</v>
      </c>
      <c r="C93" s="6">
        <v>33231</v>
      </c>
      <c r="D93" s="6">
        <v>65187</v>
      </c>
      <c r="E93" s="6">
        <v>104151</v>
      </c>
      <c r="F93" s="6">
        <v>143978</v>
      </c>
      <c r="G93" s="6">
        <v>181469</v>
      </c>
      <c r="H93" s="7"/>
    </row>
    <row r="94" spans="1:15">
      <c r="A94" s="2"/>
    </row>
    <row r="95" spans="1:15">
      <c r="A95" s="9" t="s">
        <v>66</v>
      </c>
      <c r="B95" s="7">
        <v>-1</v>
      </c>
      <c r="C95" s="6">
        <v>33231</v>
      </c>
      <c r="D95" s="6">
        <v>65187</v>
      </c>
      <c r="E95" s="6">
        <v>104151</v>
      </c>
      <c r="F95" s="6">
        <v>143978</v>
      </c>
      <c r="G95" s="6">
        <v>181469</v>
      </c>
      <c r="H95" s="7"/>
      <c r="I95" s="8">
        <f>C95-H157</f>
        <v>0</v>
      </c>
      <c r="J95" s="8">
        <f>D95-I157</f>
        <v>0</v>
      </c>
      <c r="K95" s="8">
        <f>E95-J157</f>
        <v>0</v>
      </c>
      <c r="L95" s="8">
        <f>F95-K157</f>
        <v>0</v>
      </c>
      <c r="M95" s="8">
        <f>G95-L157</f>
        <v>0</v>
      </c>
      <c r="N95" s="8"/>
      <c r="O95" s="8"/>
    </row>
    <row r="96" spans="1:15">
      <c r="A96" s="2"/>
    </row>
    <row r="97" spans="1:13">
      <c r="A97" s="2"/>
    </row>
    <row r="98" spans="1:13">
      <c r="A98" s="2" t="s">
        <v>67</v>
      </c>
      <c r="B98" s="7">
        <v>1</v>
      </c>
      <c r="C98" s="7">
        <v>6</v>
      </c>
      <c r="D98" s="7">
        <v>4</v>
      </c>
      <c r="E98" s="7">
        <v>4</v>
      </c>
      <c r="F98" s="7">
        <v>4</v>
      </c>
      <c r="G98" s="7">
        <v>6</v>
      </c>
      <c r="H98" s="7"/>
    </row>
    <row r="99" spans="1:13">
      <c r="A99" s="2"/>
    </row>
    <row r="100" spans="1:13">
      <c r="A100" s="9" t="s">
        <v>68</v>
      </c>
      <c r="B100" s="7">
        <v>1</v>
      </c>
      <c r="C100" s="7">
        <v>6</v>
      </c>
      <c r="D100" s="7">
        <v>4</v>
      </c>
      <c r="E100" s="7">
        <v>4</v>
      </c>
      <c r="F100" s="7">
        <v>4</v>
      </c>
      <c r="G100" s="7">
        <v>6</v>
      </c>
      <c r="H100" s="7"/>
    </row>
    <row r="101" spans="1:13">
      <c r="A101" s="10" t="s">
        <v>69</v>
      </c>
      <c r="B101" s="7">
        <v>1</v>
      </c>
      <c r="C101" s="7">
        <v>6</v>
      </c>
      <c r="D101" s="7">
        <v>4</v>
      </c>
      <c r="E101" s="7">
        <v>4</v>
      </c>
      <c r="F101" s="7">
        <v>4</v>
      </c>
      <c r="G101" s="7">
        <v>6</v>
      </c>
      <c r="H101" s="7"/>
    </row>
    <row r="102" spans="1:13">
      <c r="A102" s="11" t="s">
        <v>70</v>
      </c>
      <c r="B102" s="7">
        <v>1</v>
      </c>
      <c r="C102" s="7">
        <v>6</v>
      </c>
      <c r="D102" s="7">
        <v>4</v>
      </c>
      <c r="E102" s="7">
        <v>4</v>
      </c>
      <c r="F102" s="7">
        <v>4</v>
      </c>
      <c r="G102" s="7">
        <v>6</v>
      </c>
      <c r="H102" s="7"/>
      <c r="I102" s="1">
        <f>C102-H161</f>
        <v>0</v>
      </c>
      <c r="J102" s="1">
        <f>D102-I161</f>
        <v>0</v>
      </c>
      <c r="K102" s="1">
        <f>E102-J161</f>
        <v>0</v>
      </c>
      <c r="L102" s="1">
        <f>F102-K161</f>
        <v>0</v>
      </c>
      <c r="M102" s="1">
        <f>G102-L161</f>
        <v>0</v>
      </c>
    </row>
    <row r="103" spans="1:13">
      <c r="A103" s="2"/>
    </row>
    <row r="106" spans="1:13">
      <c r="A106" s="2"/>
      <c r="B106" s="2"/>
      <c r="C106" s="2"/>
      <c r="D106" s="2"/>
      <c r="E106" s="2"/>
      <c r="F106" s="2"/>
      <c r="G106" s="2"/>
      <c r="H106" s="2"/>
    </row>
    <row r="107" spans="1:13" ht="9.75" customHeight="1">
      <c r="A107" s="2" t="s">
        <v>71</v>
      </c>
      <c r="B107" s="117" t="s">
        <v>18</v>
      </c>
      <c r="C107" s="117"/>
      <c r="D107" s="117"/>
      <c r="E107" s="117"/>
      <c r="F107" s="117"/>
      <c r="G107" s="117"/>
      <c r="H107" s="117"/>
    </row>
    <row r="108" spans="1:13">
      <c r="A108" s="4" t="s">
        <v>19</v>
      </c>
      <c r="B108" s="5">
        <v>2011</v>
      </c>
      <c r="C108" s="5">
        <v>2012</v>
      </c>
      <c r="D108" s="5">
        <v>2013</v>
      </c>
      <c r="E108" s="5">
        <v>2014</v>
      </c>
      <c r="F108" s="5">
        <v>2015</v>
      </c>
      <c r="G108" s="5">
        <v>2016</v>
      </c>
      <c r="H108" s="5">
        <v>2017</v>
      </c>
    </row>
    <row r="109" spans="1:13">
      <c r="A109" s="2" t="s">
        <v>20</v>
      </c>
      <c r="B109" s="6">
        <v>3255753</v>
      </c>
      <c r="C109" s="6">
        <v>3641447</v>
      </c>
      <c r="D109" s="6">
        <v>3795023</v>
      </c>
      <c r="E109" s="6">
        <v>3952199</v>
      </c>
      <c r="F109" s="6">
        <v>3855823</v>
      </c>
      <c r="G109" s="6">
        <v>4028623</v>
      </c>
      <c r="H109" s="7"/>
    </row>
    <row r="110" spans="1:13">
      <c r="A110" s="2"/>
    </row>
    <row r="111" spans="1:13">
      <c r="A111" s="2"/>
    </row>
    <row r="112" spans="1:13">
      <c r="A112" s="2" t="s">
        <v>21</v>
      </c>
      <c r="B112" s="6">
        <v>60000</v>
      </c>
      <c r="C112" s="7"/>
      <c r="D112" s="7"/>
      <c r="E112" s="7"/>
      <c r="F112" s="7"/>
      <c r="G112" s="7"/>
      <c r="H112" s="7"/>
    </row>
    <row r="113" spans="1:8">
      <c r="A113" s="2"/>
    </row>
    <row r="114" spans="1:8">
      <c r="A114" s="9" t="s">
        <v>22</v>
      </c>
      <c r="B114" s="6">
        <v>60000</v>
      </c>
      <c r="C114" s="7"/>
      <c r="D114" s="7"/>
      <c r="E114" s="7"/>
      <c r="F114" s="7"/>
      <c r="G114" s="7"/>
      <c r="H114" s="7"/>
    </row>
    <row r="115" spans="1:8">
      <c r="A115" s="10" t="s">
        <v>72</v>
      </c>
      <c r="B115" s="6">
        <v>60000</v>
      </c>
      <c r="C115" s="7"/>
      <c r="D115" s="7"/>
      <c r="E115" s="7"/>
      <c r="F115" s="7"/>
      <c r="G115" s="7"/>
      <c r="H115" s="7"/>
    </row>
    <row r="116" spans="1:8">
      <c r="A116" s="11" t="s">
        <v>73</v>
      </c>
      <c r="B116" s="6">
        <v>60000</v>
      </c>
      <c r="C116" s="7"/>
      <c r="D116" s="7"/>
      <c r="E116" s="7"/>
      <c r="F116" s="7"/>
      <c r="G116" s="7"/>
      <c r="H116" s="7"/>
    </row>
    <row r="117" spans="1:8">
      <c r="A117" s="2"/>
    </row>
    <row r="118" spans="1:8">
      <c r="A118" s="2"/>
    </row>
    <row r="119" spans="1:8" ht="18">
      <c r="A119" s="2" t="s">
        <v>30</v>
      </c>
      <c r="B119" s="6">
        <v>3195753</v>
      </c>
      <c r="C119" s="6">
        <v>3641447</v>
      </c>
      <c r="D119" s="6">
        <v>3795023</v>
      </c>
      <c r="E119" s="6">
        <v>3952199</v>
      </c>
      <c r="F119" s="6">
        <v>3855823</v>
      </c>
      <c r="G119" s="6">
        <v>4028623</v>
      </c>
      <c r="H119" s="7"/>
    </row>
    <row r="120" spans="1:8">
      <c r="A120" s="2"/>
    </row>
    <row r="121" spans="1:8">
      <c r="A121" s="9" t="s">
        <v>28</v>
      </c>
      <c r="B121" s="6">
        <v>3195753</v>
      </c>
      <c r="C121" s="6">
        <v>3641447</v>
      </c>
      <c r="D121" s="6">
        <v>3795023</v>
      </c>
      <c r="E121" s="6">
        <v>3952199</v>
      </c>
      <c r="F121" s="6">
        <v>3855823</v>
      </c>
      <c r="G121" s="6">
        <v>4028623</v>
      </c>
      <c r="H121" s="7"/>
    </row>
    <row r="122" spans="1:8">
      <c r="A122" s="10" t="s">
        <v>72</v>
      </c>
      <c r="B122" s="6">
        <v>3195753</v>
      </c>
      <c r="C122" s="6">
        <v>3641447</v>
      </c>
      <c r="D122" s="6">
        <v>3795023</v>
      </c>
      <c r="E122" s="6">
        <v>3952199</v>
      </c>
      <c r="F122" s="6">
        <v>3855823</v>
      </c>
      <c r="G122" s="6">
        <v>4028623</v>
      </c>
      <c r="H122" s="7"/>
    </row>
    <row r="123" spans="1:8">
      <c r="A123" s="11" t="s">
        <v>74</v>
      </c>
      <c r="B123" s="6">
        <v>1514530</v>
      </c>
      <c r="C123" s="6">
        <v>1945038</v>
      </c>
      <c r="D123" s="6">
        <v>2106643</v>
      </c>
      <c r="E123" s="6">
        <v>2236086</v>
      </c>
      <c r="F123" s="6">
        <v>2088444</v>
      </c>
      <c r="G123" s="6">
        <v>2236544</v>
      </c>
      <c r="H123" s="7"/>
    </row>
    <row r="124" spans="1:8">
      <c r="A124" s="11" t="s">
        <v>75</v>
      </c>
      <c r="B124" s="6">
        <v>1681223</v>
      </c>
      <c r="C124" s="6">
        <v>1696409</v>
      </c>
      <c r="D124" s="6">
        <v>1688380</v>
      </c>
      <c r="E124" s="6">
        <v>1716113</v>
      </c>
      <c r="F124" s="6">
        <v>1767379</v>
      </c>
      <c r="G124" s="6">
        <v>1792079</v>
      </c>
      <c r="H124" s="7"/>
    </row>
    <row r="125" spans="1:8">
      <c r="A125" s="2"/>
    </row>
    <row r="128" spans="1:8">
      <c r="A128" s="2"/>
    </row>
    <row r="131" spans="1:23" ht="15">
      <c r="A131" s="12" t="s">
        <v>76</v>
      </c>
      <c r="B131" s="12" t="s">
        <v>77</v>
      </c>
      <c r="C131" s="12" t="s">
        <v>78</v>
      </c>
      <c r="D131" s="12" t="s">
        <v>79</v>
      </c>
      <c r="E131" s="12" t="s">
        <v>80</v>
      </c>
      <c r="F131" s="12" t="s">
        <v>81</v>
      </c>
      <c r="G131" s="12" t="s">
        <v>82</v>
      </c>
      <c r="H131" s="12" t="s">
        <v>83</v>
      </c>
      <c r="I131" s="12" t="s">
        <v>84</v>
      </c>
      <c r="J131" s="12" t="s">
        <v>85</v>
      </c>
      <c r="K131" s="12" t="s">
        <v>86</v>
      </c>
      <c r="L131" s="12" t="s">
        <v>87</v>
      </c>
      <c r="M131" s="12" t="s">
        <v>88</v>
      </c>
      <c r="N131" s="12"/>
      <c r="O131" s="12"/>
      <c r="P131" s="12" t="s">
        <v>89</v>
      </c>
      <c r="Q131" s="12" t="s">
        <v>90</v>
      </c>
      <c r="R131" s="12" t="s">
        <v>91</v>
      </c>
      <c r="S131" s="12" t="s">
        <v>92</v>
      </c>
      <c r="T131" s="12" t="s">
        <v>93</v>
      </c>
      <c r="U131" s="12" t="s">
        <v>94</v>
      </c>
      <c r="V131" s="12" t="s">
        <v>95</v>
      </c>
      <c r="W131" s="12" t="s">
        <v>96</v>
      </c>
    </row>
    <row r="132" spans="1:23" ht="15">
      <c r="A132" s="13" t="s">
        <v>97</v>
      </c>
      <c r="B132" s="13" t="s">
        <v>98</v>
      </c>
      <c r="C132" s="13" t="s">
        <v>99</v>
      </c>
      <c r="D132" s="13" t="s">
        <v>100</v>
      </c>
      <c r="E132" s="13" t="s">
        <v>100</v>
      </c>
      <c r="F132" s="13" t="s">
        <v>100</v>
      </c>
      <c r="G132" s="13" t="s">
        <v>100</v>
      </c>
      <c r="H132" s="13" t="s">
        <v>101</v>
      </c>
      <c r="I132" s="13" t="s">
        <v>102</v>
      </c>
      <c r="J132" s="13" t="s">
        <v>103</v>
      </c>
      <c r="K132" s="13" t="s">
        <v>104</v>
      </c>
      <c r="L132" s="13" t="s">
        <v>105</v>
      </c>
      <c r="M132" s="13" t="s">
        <v>105</v>
      </c>
      <c r="N132" s="13"/>
      <c r="O132" s="13"/>
      <c r="P132" s="13" t="s">
        <v>100</v>
      </c>
      <c r="Q132" s="13" t="s">
        <v>100</v>
      </c>
      <c r="R132" s="13" t="s">
        <v>101</v>
      </c>
      <c r="S132" s="13" t="s">
        <v>102</v>
      </c>
      <c r="T132" s="13" t="s">
        <v>103</v>
      </c>
      <c r="U132" s="13" t="s">
        <v>104</v>
      </c>
      <c r="V132" s="13" t="s">
        <v>105</v>
      </c>
      <c r="W132" s="13" t="s">
        <v>105</v>
      </c>
    </row>
    <row r="133" spans="1:23" ht="15">
      <c r="A133" s="13" t="s">
        <v>97</v>
      </c>
      <c r="B133" s="13" t="s">
        <v>98</v>
      </c>
      <c r="C133" s="13" t="s">
        <v>99</v>
      </c>
      <c r="D133" s="13" t="s">
        <v>100</v>
      </c>
      <c r="E133" s="13" t="s">
        <v>100</v>
      </c>
      <c r="F133" s="13" t="s">
        <v>100</v>
      </c>
      <c r="G133" s="13" t="s">
        <v>100</v>
      </c>
      <c r="H133" s="13" t="s">
        <v>106</v>
      </c>
      <c r="I133" s="13" t="s">
        <v>107</v>
      </c>
      <c r="J133" s="13" t="s">
        <v>108</v>
      </c>
      <c r="K133" s="13" t="s">
        <v>109</v>
      </c>
      <c r="L133" s="13" t="s">
        <v>110</v>
      </c>
      <c r="M133" s="13" t="s">
        <v>110</v>
      </c>
      <c r="N133" s="13"/>
      <c r="O133" s="13"/>
      <c r="P133" s="13" t="s">
        <v>100</v>
      </c>
      <c r="Q133" s="13" t="s">
        <v>100</v>
      </c>
      <c r="R133" s="13" t="s">
        <v>106</v>
      </c>
      <c r="S133" s="13" t="s">
        <v>107</v>
      </c>
      <c r="T133" s="13" t="s">
        <v>108</v>
      </c>
      <c r="U133" s="13" t="s">
        <v>109</v>
      </c>
      <c r="V133" s="13" t="s">
        <v>110</v>
      </c>
      <c r="W133" s="13" t="s">
        <v>110</v>
      </c>
    </row>
    <row r="134" spans="1:23" ht="15">
      <c r="A134" s="13" t="s">
        <v>97</v>
      </c>
      <c r="B134" s="13" t="s">
        <v>98</v>
      </c>
      <c r="C134" s="13" t="s">
        <v>99</v>
      </c>
      <c r="D134" s="13" t="s">
        <v>100</v>
      </c>
      <c r="E134" s="13" t="s">
        <v>100</v>
      </c>
      <c r="F134" s="13" t="s">
        <v>100</v>
      </c>
      <c r="G134" s="13" t="s">
        <v>100</v>
      </c>
      <c r="H134" s="13" t="s">
        <v>111</v>
      </c>
      <c r="I134" s="13" t="s">
        <v>111</v>
      </c>
      <c r="J134" s="13" t="s">
        <v>111</v>
      </c>
      <c r="K134" s="13" t="s">
        <v>111</v>
      </c>
      <c r="L134" s="13" t="s">
        <v>111</v>
      </c>
      <c r="M134" s="13" t="s">
        <v>111</v>
      </c>
      <c r="N134" s="13"/>
      <c r="O134" s="13"/>
      <c r="P134" s="13" t="s">
        <v>100</v>
      </c>
      <c r="Q134" s="13" t="s">
        <v>100</v>
      </c>
      <c r="R134" s="13" t="s">
        <v>111</v>
      </c>
      <c r="S134" s="13" t="s">
        <v>111</v>
      </c>
      <c r="T134" s="13" t="s">
        <v>111</v>
      </c>
      <c r="U134" s="13" t="s">
        <v>111</v>
      </c>
      <c r="V134" s="13" t="s">
        <v>111</v>
      </c>
      <c r="W134" s="13" t="s">
        <v>111</v>
      </c>
    </row>
    <row r="135" spans="1:23" ht="15">
      <c r="A135" s="13" t="s">
        <v>97</v>
      </c>
      <c r="B135" s="13" t="s">
        <v>98</v>
      </c>
      <c r="C135" s="13" t="s">
        <v>99</v>
      </c>
      <c r="D135" s="13" t="s">
        <v>100</v>
      </c>
      <c r="E135" s="13" t="s">
        <v>100</v>
      </c>
      <c r="F135" s="13" t="s">
        <v>100</v>
      </c>
      <c r="G135" s="13" t="s">
        <v>100</v>
      </c>
      <c r="H135" s="13" t="s">
        <v>112</v>
      </c>
      <c r="I135" s="13" t="s">
        <v>113</v>
      </c>
      <c r="J135" s="13" t="s">
        <v>114</v>
      </c>
      <c r="K135" s="13" t="s">
        <v>115</v>
      </c>
      <c r="L135" s="13" t="s">
        <v>115</v>
      </c>
      <c r="M135" s="13" t="s">
        <v>115</v>
      </c>
      <c r="N135" s="13"/>
      <c r="O135" s="13"/>
      <c r="P135" s="13" t="s">
        <v>100</v>
      </c>
      <c r="Q135" s="13" t="s">
        <v>100</v>
      </c>
      <c r="R135" s="13" t="s">
        <v>112</v>
      </c>
      <c r="S135" s="13" t="s">
        <v>113</v>
      </c>
      <c r="T135" s="13" t="s">
        <v>114</v>
      </c>
      <c r="U135" s="13" t="s">
        <v>115</v>
      </c>
      <c r="V135" s="13" t="s">
        <v>115</v>
      </c>
      <c r="W135" s="13" t="s">
        <v>115</v>
      </c>
    </row>
    <row r="136" spans="1:23" ht="15">
      <c r="A136" s="12" t="s">
        <v>97</v>
      </c>
      <c r="B136" s="12" t="s">
        <v>98</v>
      </c>
      <c r="C136" s="12" t="s">
        <v>99</v>
      </c>
      <c r="D136" s="12" t="s">
        <v>100</v>
      </c>
      <c r="E136" s="12" t="s">
        <v>100</v>
      </c>
      <c r="F136" s="12" t="s">
        <v>100</v>
      </c>
      <c r="G136" s="12" t="s">
        <v>100</v>
      </c>
      <c r="H136" s="12" t="s">
        <v>116</v>
      </c>
      <c r="I136" s="12" t="s">
        <v>117</v>
      </c>
      <c r="J136" s="12" t="s">
        <v>118</v>
      </c>
      <c r="K136" s="12" t="s">
        <v>119</v>
      </c>
      <c r="L136" s="12" t="s">
        <v>120</v>
      </c>
      <c r="M136" s="12" t="s">
        <v>120</v>
      </c>
      <c r="N136" s="12"/>
      <c r="O136" s="12"/>
      <c r="P136" s="12" t="s">
        <v>100</v>
      </c>
      <c r="Q136" s="12" t="s">
        <v>100</v>
      </c>
      <c r="R136" s="12" t="s">
        <v>116</v>
      </c>
      <c r="S136" s="12" t="s">
        <v>117</v>
      </c>
      <c r="T136" s="12" t="s">
        <v>118</v>
      </c>
      <c r="U136" s="12" t="s">
        <v>119</v>
      </c>
      <c r="V136" s="12" t="s">
        <v>120</v>
      </c>
      <c r="W136" s="12" t="s">
        <v>120</v>
      </c>
    </row>
    <row r="137" spans="1:23" ht="15">
      <c r="A137" s="12" t="s">
        <v>97</v>
      </c>
      <c r="B137" s="12" t="s">
        <v>98</v>
      </c>
      <c r="C137" s="12"/>
      <c r="D137" s="12" t="s">
        <v>100</v>
      </c>
      <c r="E137" s="12" t="s">
        <v>100</v>
      </c>
      <c r="F137" s="12" t="s">
        <v>100</v>
      </c>
      <c r="G137" s="12" t="s">
        <v>100</v>
      </c>
      <c r="H137" s="12" t="s">
        <v>116</v>
      </c>
      <c r="I137" s="12" t="s">
        <v>117</v>
      </c>
      <c r="J137" s="12" t="s">
        <v>118</v>
      </c>
      <c r="K137" s="12" t="s">
        <v>119</v>
      </c>
      <c r="L137" s="12" t="s">
        <v>120</v>
      </c>
      <c r="M137" s="12" t="s">
        <v>120</v>
      </c>
      <c r="N137" s="12"/>
      <c r="O137" s="12"/>
      <c r="P137" s="12" t="s">
        <v>100</v>
      </c>
      <c r="Q137" s="12" t="s">
        <v>100</v>
      </c>
      <c r="R137" s="12" t="s">
        <v>116</v>
      </c>
      <c r="S137" s="12" t="s">
        <v>117</v>
      </c>
      <c r="T137" s="12" t="s">
        <v>118</v>
      </c>
      <c r="U137" s="12" t="s">
        <v>119</v>
      </c>
      <c r="V137" s="12" t="s">
        <v>120</v>
      </c>
      <c r="W137" s="12" t="s">
        <v>120</v>
      </c>
    </row>
    <row r="138" spans="1:23" ht="15">
      <c r="A138" s="13" t="s">
        <v>97</v>
      </c>
      <c r="B138" s="13" t="s">
        <v>121</v>
      </c>
      <c r="C138" s="13" t="s">
        <v>122</v>
      </c>
      <c r="D138" s="13" t="s">
        <v>100</v>
      </c>
      <c r="E138" s="13" t="s">
        <v>100</v>
      </c>
      <c r="F138" s="13" t="s">
        <v>100</v>
      </c>
      <c r="G138" s="13" t="s">
        <v>100</v>
      </c>
      <c r="H138" s="13" t="s">
        <v>123</v>
      </c>
      <c r="I138" s="13" t="s">
        <v>124</v>
      </c>
      <c r="J138" s="13" t="s">
        <v>125</v>
      </c>
      <c r="K138" s="13" t="s">
        <v>126</v>
      </c>
      <c r="L138" s="13" t="s">
        <v>127</v>
      </c>
      <c r="M138" s="13" t="s">
        <v>127</v>
      </c>
      <c r="N138" s="13"/>
      <c r="O138" s="13"/>
      <c r="P138" s="13" t="s">
        <v>100</v>
      </c>
      <c r="Q138" s="13" t="s">
        <v>100</v>
      </c>
      <c r="R138" s="13" t="s">
        <v>123</v>
      </c>
      <c r="S138" s="13" t="s">
        <v>124</v>
      </c>
      <c r="T138" s="13" t="s">
        <v>125</v>
      </c>
      <c r="U138" s="13" t="s">
        <v>126</v>
      </c>
      <c r="V138" s="13" t="s">
        <v>127</v>
      </c>
      <c r="W138" s="13" t="s">
        <v>127</v>
      </c>
    </row>
    <row r="139" spans="1:23" ht="15">
      <c r="A139" s="13" t="s">
        <v>97</v>
      </c>
      <c r="B139" s="13" t="s">
        <v>121</v>
      </c>
      <c r="C139" s="13" t="s">
        <v>122</v>
      </c>
      <c r="D139" s="13" t="s">
        <v>100</v>
      </c>
      <c r="E139" s="13" t="s">
        <v>100</v>
      </c>
      <c r="F139" s="13" t="s">
        <v>100</v>
      </c>
      <c r="G139" s="13" t="s">
        <v>100</v>
      </c>
      <c r="H139" s="13" t="s">
        <v>128</v>
      </c>
      <c r="I139" s="13" t="s">
        <v>128</v>
      </c>
      <c r="J139" s="13" t="s">
        <v>128</v>
      </c>
      <c r="K139" s="13" t="s">
        <v>128</v>
      </c>
      <c r="L139" s="13" t="s">
        <v>128</v>
      </c>
      <c r="M139" s="13" t="s">
        <v>128</v>
      </c>
      <c r="N139" s="13"/>
      <c r="O139" s="13"/>
      <c r="P139" s="13" t="s">
        <v>100</v>
      </c>
      <c r="Q139" s="13" t="s">
        <v>100</v>
      </c>
      <c r="R139" s="13" t="s">
        <v>128</v>
      </c>
      <c r="S139" s="13" t="s">
        <v>128</v>
      </c>
      <c r="T139" s="13" t="s">
        <v>128</v>
      </c>
      <c r="U139" s="13" t="s">
        <v>128</v>
      </c>
      <c r="V139" s="13" t="s">
        <v>128</v>
      </c>
      <c r="W139" s="13" t="s">
        <v>128</v>
      </c>
    </row>
    <row r="140" spans="1:23" ht="15">
      <c r="A140" s="12" t="s">
        <v>97</v>
      </c>
      <c r="B140" s="12" t="s">
        <v>121</v>
      </c>
      <c r="C140" s="12" t="s">
        <v>122</v>
      </c>
      <c r="D140" s="12" t="s">
        <v>100</v>
      </c>
      <c r="E140" s="12" t="s">
        <v>100</v>
      </c>
      <c r="F140" s="12" t="s">
        <v>100</v>
      </c>
      <c r="G140" s="12" t="s">
        <v>100</v>
      </c>
      <c r="H140" s="12" t="s">
        <v>129</v>
      </c>
      <c r="I140" s="12" t="s">
        <v>130</v>
      </c>
      <c r="J140" s="12" t="s">
        <v>131</v>
      </c>
      <c r="K140" s="12" t="s">
        <v>132</v>
      </c>
      <c r="L140" s="12" t="s">
        <v>133</v>
      </c>
      <c r="M140" s="12" t="s">
        <v>133</v>
      </c>
      <c r="N140" s="12"/>
      <c r="O140" s="12"/>
      <c r="P140" s="12" t="s">
        <v>100</v>
      </c>
      <c r="Q140" s="12" t="s">
        <v>100</v>
      </c>
      <c r="R140" s="12" t="s">
        <v>129</v>
      </c>
      <c r="S140" s="12" t="s">
        <v>130</v>
      </c>
      <c r="T140" s="12" t="s">
        <v>131</v>
      </c>
      <c r="U140" s="12" t="s">
        <v>132</v>
      </c>
      <c r="V140" s="12" t="s">
        <v>133</v>
      </c>
      <c r="W140" s="12" t="s">
        <v>133</v>
      </c>
    </row>
    <row r="141" spans="1:23" ht="15">
      <c r="A141" s="12" t="s">
        <v>97</v>
      </c>
      <c r="B141" s="12" t="s">
        <v>121</v>
      </c>
      <c r="C141" s="12"/>
      <c r="D141" s="12" t="s">
        <v>100</v>
      </c>
      <c r="E141" s="12" t="s">
        <v>100</v>
      </c>
      <c r="F141" s="12" t="s">
        <v>100</v>
      </c>
      <c r="G141" s="12" t="s">
        <v>100</v>
      </c>
      <c r="H141" s="12" t="s">
        <v>129</v>
      </c>
      <c r="I141" s="12" t="s">
        <v>130</v>
      </c>
      <c r="J141" s="12" t="s">
        <v>131</v>
      </c>
      <c r="K141" s="12" t="s">
        <v>132</v>
      </c>
      <c r="L141" s="12" t="s">
        <v>133</v>
      </c>
      <c r="M141" s="12" t="s">
        <v>133</v>
      </c>
      <c r="N141" s="12"/>
      <c r="O141" s="12"/>
      <c r="P141" s="12" t="s">
        <v>100</v>
      </c>
      <c r="Q141" s="12" t="s">
        <v>100</v>
      </c>
      <c r="R141" s="12" t="s">
        <v>129</v>
      </c>
      <c r="S141" s="12" t="s">
        <v>130</v>
      </c>
      <c r="T141" s="12" t="s">
        <v>131</v>
      </c>
      <c r="U141" s="12" t="s">
        <v>132</v>
      </c>
      <c r="V141" s="12" t="s">
        <v>133</v>
      </c>
      <c r="W141" s="12" t="s">
        <v>133</v>
      </c>
    </row>
    <row r="142" spans="1:23" ht="15">
      <c r="A142" s="13" t="s">
        <v>97</v>
      </c>
      <c r="B142" s="13" t="s">
        <v>134</v>
      </c>
      <c r="C142" s="13" t="s">
        <v>135</v>
      </c>
      <c r="D142" s="13" t="s">
        <v>100</v>
      </c>
      <c r="E142" s="13" t="s">
        <v>100</v>
      </c>
      <c r="F142" s="13" t="s">
        <v>100</v>
      </c>
      <c r="G142" s="13" t="s">
        <v>100</v>
      </c>
      <c r="H142" s="13" t="s">
        <v>136</v>
      </c>
      <c r="I142" s="13" t="s">
        <v>137</v>
      </c>
      <c r="J142" s="13" t="s">
        <v>138</v>
      </c>
      <c r="K142" s="13" t="s">
        <v>139</v>
      </c>
      <c r="L142" s="13" t="s">
        <v>140</v>
      </c>
      <c r="M142" s="13" t="s">
        <v>140</v>
      </c>
      <c r="N142" s="13"/>
      <c r="O142" s="13"/>
      <c r="P142" s="13" t="s">
        <v>100</v>
      </c>
      <c r="Q142" s="13" t="s">
        <v>100</v>
      </c>
      <c r="R142" s="13" t="s">
        <v>136</v>
      </c>
      <c r="S142" s="13" t="s">
        <v>137</v>
      </c>
      <c r="T142" s="13" t="s">
        <v>138</v>
      </c>
      <c r="U142" s="13" t="s">
        <v>139</v>
      </c>
      <c r="V142" s="13" t="s">
        <v>140</v>
      </c>
      <c r="W142" s="13" t="s">
        <v>140</v>
      </c>
    </row>
    <row r="143" spans="1:23" ht="15">
      <c r="A143" s="12" t="s">
        <v>97</v>
      </c>
      <c r="B143" s="12" t="s">
        <v>134</v>
      </c>
      <c r="C143" s="12" t="s">
        <v>135</v>
      </c>
      <c r="D143" s="12" t="s">
        <v>100</v>
      </c>
      <c r="E143" s="12" t="s">
        <v>100</v>
      </c>
      <c r="F143" s="12" t="s">
        <v>100</v>
      </c>
      <c r="G143" s="12" t="s">
        <v>100</v>
      </c>
      <c r="H143" s="12" t="s">
        <v>136</v>
      </c>
      <c r="I143" s="12" t="s">
        <v>137</v>
      </c>
      <c r="J143" s="12" t="s">
        <v>138</v>
      </c>
      <c r="K143" s="12" t="s">
        <v>139</v>
      </c>
      <c r="L143" s="12" t="s">
        <v>140</v>
      </c>
      <c r="M143" s="12" t="s">
        <v>140</v>
      </c>
      <c r="N143" s="12"/>
      <c r="O143" s="12"/>
      <c r="P143" s="12" t="s">
        <v>100</v>
      </c>
      <c r="Q143" s="12" t="s">
        <v>100</v>
      </c>
      <c r="R143" s="12" t="s">
        <v>136</v>
      </c>
      <c r="S143" s="12" t="s">
        <v>137</v>
      </c>
      <c r="T143" s="12" t="s">
        <v>138</v>
      </c>
      <c r="U143" s="12" t="s">
        <v>139</v>
      </c>
      <c r="V143" s="12" t="s">
        <v>140</v>
      </c>
      <c r="W143" s="12" t="s">
        <v>140</v>
      </c>
    </row>
    <row r="144" spans="1:23" ht="15">
      <c r="A144" s="12" t="s">
        <v>97</v>
      </c>
      <c r="B144" s="12" t="s">
        <v>134</v>
      </c>
      <c r="C144" s="12"/>
      <c r="D144" s="12" t="s">
        <v>100</v>
      </c>
      <c r="E144" s="12" t="s">
        <v>100</v>
      </c>
      <c r="F144" s="12" t="s">
        <v>100</v>
      </c>
      <c r="G144" s="12" t="s">
        <v>100</v>
      </c>
      <c r="H144" s="12" t="s">
        <v>136</v>
      </c>
      <c r="I144" s="12" t="s">
        <v>137</v>
      </c>
      <c r="J144" s="12" t="s">
        <v>138</v>
      </c>
      <c r="K144" s="12" t="s">
        <v>139</v>
      </c>
      <c r="L144" s="12" t="s">
        <v>140</v>
      </c>
      <c r="M144" s="12" t="s">
        <v>140</v>
      </c>
      <c r="N144" s="12"/>
      <c r="O144" s="12"/>
      <c r="P144" s="12" t="s">
        <v>100</v>
      </c>
      <c r="Q144" s="12" t="s">
        <v>100</v>
      </c>
      <c r="R144" s="12" t="s">
        <v>136</v>
      </c>
      <c r="S144" s="12" t="s">
        <v>137</v>
      </c>
      <c r="T144" s="12" t="s">
        <v>138</v>
      </c>
      <c r="U144" s="12" t="s">
        <v>139</v>
      </c>
      <c r="V144" s="12" t="s">
        <v>140</v>
      </c>
      <c r="W144" s="12" t="s">
        <v>140</v>
      </c>
    </row>
    <row r="145" spans="1:23" ht="15">
      <c r="A145" s="12" t="s">
        <v>97</v>
      </c>
      <c r="B145" s="12"/>
      <c r="C145" s="12"/>
      <c r="D145" s="12" t="s">
        <v>100</v>
      </c>
      <c r="E145" s="12" t="s">
        <v>100</v>
      </c>
      <c r="F145" s="12" t="s">
        <v>100</v>
      </c>
      <c r="G145" s="12" t="s">
        <v>100</v>
      </c>
      <c r="H145" s="12" t="s">
        <v>141</v>
      </c>
      <c r="I145" s="12" t="s">
        <v>142</v>
      </c>
      <c r="J145" s="12" t="s">
        <v>143</v>
      </c>
      <c r="K145" s="12" t="s">
        <v>144</v>
      </c>
      <c r="L145" s="12" t="s">
        <v>145</v>
      </c>
      <c r="M145" s="12" t="s">
        <v>145</v>
      </c>
      <c r="N145" s="12"/>
      <c r="O145" s="12"/>
      <c r="P145" s="12" t="s">
        <v>100</v>
      </c>
      <c r="Q145" s="12" t="s">
        <v>100</v>
      </c>
      <c r="R145" s="12" t="s">
        <v>141</v>
      </c>
      <c r="S145" s="12" t="s">
        <v>142</v>
      </c>
      <c r="T145" s="12" t="s">
        <v>143</v>
      </c>
      <c r="U145" s="12" t="s">
        <v>144</v>
      </c>
      <c r="V145" s="12" t="s">
        <v>145</v>
      </c>
      <c r="W145" s="12" t="s">
        <v>145</v>
      </c>
    </row>
    <row r="146" spans="1:23" ht="15">
      <c r="A146" s="13" t="s">
        <v>146</v>
      </c>
      <c r="B146" s="13" t="s">
        <v>147</v>
      </c>
      <c r="C146" s="13" t="s">
        <v>148</v>
      </c>
      <c r="D146" s="13" t="s">
        <v>149</v>
      </c>
      <c r="E146" s="13" t="s">
        <v>150</v>
      </c>
      <c r="F146" s="13" t="s">
        <v>151</v>
      </c>
      <c r="G146" s="13" t="s">
        <v>152</v>
      </c>
      <c r="H146" s="13" t="s">
        <v>153</v>
      </c>
      <c r="I146" s="13" t="s">
        <v>153</v>
      </c>
      <c r="J146" s="13" t="s">
        <v>153</v>
      </c>
      <c r="K146" s="13" t="s">
        <v>153</v>
      </c>
      <c r="L146" s="13" t="s">
        <v>153</v>
      </c>
      <c r="M146" s="13" t="s">
        <v>153</v>
      </c>
      <c r="N146" s="13"/>
      <c r="O146" s="13"/>
      <c r="P146" s="13" t="s">
        <v>151</v>
      </c>
      <c r="Q146" s="13" t="s">
        <v>152</v>
      </c>
      <c r="R146" s="13" t="s">
        <v>153</v>
      </c>
      <c r="S146" s="13" t="s">
        <v>153</v>
      </c>
      <c r="T146" s="13" t="s">
        <v>153</v>
      </c>
      <c r="U146" s="13" t="s">
        <v>153</v>
      </c>
      <c r="V146" s="13" t="s">
        <v>153</v>
      </c>
      <c r="W146" s="13" t="s">
        <v>153</v>
      </c>
    </row>
    <row r="147" spans="1:23" ht="15">
      <c r="A147" s="12" t="s">
        <v>146</v>
      </c>
      <c r="B147" s="12" t="s">
        <v>147</v>
      </c>
      <c r="C147" s="12" t="s">
        <v>148</v>
      </c>
      <c r="D147" s="12" t="s">
        <v>149</v>
      </c>
      <c r="E147" s="12" t="s">
        <v>150</v>
      </c>
      <c r="F147" s="12" t="s">
        <v>151</v>
      </c>
      <c r="G147" s="12" t="s">
        <v>152</v>
      </c>
      <c r="H147" s="12" t="s">
        <v>153</v>
      </c>
      <c r="I147" s="12" t="s">
        <v>153</v>
      </c>
      <c r="J147" s="12" t="s">
        <v>153</v>
      </c>
      <c r="K147" s="12" t="s">
        <v>153</v>
      </c>
      <c r="L147" s="12" t="s">
        <v>153</v>
      </c>
      <c r="M147" s="12" t="s">
        <v>153</v>
      </c>
      <c r="N147" s="12"/>
      <c r="O147" s="12"/>
      <c r="P147" s="12" t="s">
        <v>151</v>
      </c>
      <c r="Q147" s="12" t="s">
        <v>152</v>
      </c>
      <c r="R147" s="12" t="s">
        <v>153</v>
      </c>
      <c r="S147" s="12" t="s">
        <v>153</v>
      </c>
      <c r="T147" s="12" t="s">
        <v>153</v>
      </c>
      <c r="U147" s="12" t="s">
        <v>153</v>
      </c>
      <c r="V147" s="12" t="s">
        <v>153</v>
      </c>
      <c r="W147" s="12" t="s">
        <v>153</v>
      </c>
    </row>
    <row r="148" spans="1:23" ht="15">
      <c r="A148" s="12" t="s">
        <v>146</v>
      </c>
      <c r="B148" s="12" t="s">
        <v>147</v>
      </c>
      <c r="C148" s="12"/>
      <c r="D148" s="12" t="s">
        <v>149</v>
      </c>
      <c r="E148" s="12" t="s">
        <v>150</v>
      </c>
      <c r="F148" s="12" t="s">
        <v>151</v>
      </c>
      <c r="G148" s="12" t="s">
        <v>152</v>
      </c>
      <c r="H148" s="12" t="s">
        <v>153</v>
      </c>
      <c r="I148" s="12" t="s">
        <v>153</v>
      </c>
      <c r="J148" s="12" t="s">
        <v>153</v>
      </c>
      <c r="K148" s="12" t="s">
        <v>153</v>
      </c>
      <c r="L148" s="12" t="s">
        <v>153</v>
      </c>
      <c r="M148" s="12" t="s">
        <v>153</v>
      </c>
      <c r="N148" s="12"/>
      <c r="O148" s="12"/>
      <c r="P148" s="12" t="s">
        <v>151</v>
      </c>
      <c r="Q148" s="12" t="s">
        <v>152</v>
      </c>
      <c r="R148" s="12" t="s">
        <v>153</v>
      </c>
      <c r="S148" s="12" t="s">
        <v>153</v>
      </c>
      <c r="T148" s="12" t="s">
        <v>153</v>
      </c>
      <c r="U148" s="12" t="s">
        <v>153</v>
      </c>
      <c r="V148" s="12" t="s">
        <v>153</v>
      </c>
      <c r="W148" s="12" t="s">
        <v>153</v>
      </c>
    </row>
    <row r="149" spans="1:23" ht="15">
      <c r="A149" s="12" t="s">
        <v>146</v>
      </c>
      <c r="B149" s="12"/>
      <c r="C149" s="12"/>
      <c r="D149" s="12" t="s">
        <v>149</v>
      </c>
      <c r="E149" s="12" t="s">
        <v>150</v>
      </c>
      <c r="F149" s="12" t="s">
        <v>151</v>
      </c>
      <c r="G149" s="12" t="s">
        <v>152</v>
      </c>
      <c r="H149" s="12" t="s">
        <v>153</v>
      </c>
      <c r="I149" s="12" t="s">
        <v>153</v>
      </c>
      <c r="J149" s="12" t="s">
        <v>153</v>
      </c>
      <c r="K149" s="12" t="s">
        <v>153</v>
      </c>
      <c r="L149" s="12" t="s">
        <v>153</v>
      </c>
      <c r="M149" s="12" t="s">
        <v>153</v>
      </c>
      <c r="N149" s="12"/>
      <c r="O149" s="12"/>
      <c r="P149" s="12" t="s">
        <v>151</v>
      </c>
      <c r="Q149" s="12" t="s">
        <v>152</v>
      </c>
      <c r="R149" s="12" t="s">
        <v>153</v>
      </c>
      <c r="S149" s="12" t="s">
        <v>153</v>
      </c>
      <c r="T149" s="12" t="s">
        <v>153</v>
      </c>
      <c r="U149" s="12" t="s">
        <v>153</v>
      </c>
      <c r="V149" s="12" t="s">
        <v>153</v>
      </c>
      <c r="W149" s="12" t="s">
        <v>153</v>
      </c>
    </row>
    <row r="150" spans="1:23" ht="15">
      <c r="A150" s="13" t="s">
        <v>154</v>
      </c>
      <c r="B150" s="13" t="s">
        <v>155</v>
      </c>
      <c r="C150" s="13" t="s">
        <v>148</v>
      </c>
      <c r="D150" s="13" t="s">
        <v>100</v>
      </c>
      <c r="E150" s="13" t="s">
        <v>100</v>
      </c>
      <c r="F150" s="13" t="s">
        <v>100</v>
      </c>
      <c r="G150" s="13" t="s">
        <v>100</v>
      </c>
      <c r="H150" s="13" t="s">
        <v>156</v>
      </c>
      <c r="I150" s="13" t="s">
        <v>157</v>
      </c>
      <c r="J150" s="13" t="s">
        <v>158</v>
      </c>
      <c r="K150" s="13" t="s">
        <v>159</v>
      </c>
      <c r="L150" s="13" t="s">
        <v>160</v>
      </c>
      <c r="M150" s="13" t="s">
        <v>160</v>
      </c>
      <c r="N150" s="13"/>
      <c r="O150" s="13"/>
      <c r="P150" s="13" t="s">
        <v>100</v>
      </c>
      <c r="Q150" s="13" t="s">
        <v>100</v>
      </c>
      <c r="R150" s="13" t="s">
        <v>156</v>
      </c>
      <c r="S150" s="13" t="s">
        <v>157</v>
      </c>
      <c r="T150" s="13" t="s">
        <v>158</v>
      </c>
      <c r="U150" s="13" t="s">
        <v>159</v>
      </c>
      <c r="V150" s="13" t="s">
        <v>160</v>
      </c>
      <c r="W150" s="13" t="s">
        <v>160</v>
      </c>
    </row>
    <row r="151" spans="1:23" ht="15">
      <c r="A151" s="12" t="s">
        <v>154</v>
      </c>
      <c r="B151" s="12" t="s">
        <v>155</v>
      </c>
      <c r="C151" s="12" t="s">
        <v>148</v>
      </c>
      <c r="D151" s="12" t="s">
        <v>100</v>
      </c>
      <c r="E151" s="12" t="s">
        <v>100</v>
      </c>
      <c r="F151" s="12" t="s">
        <v>100</v>
      </c>
      <c r="G151" s="12" t="s">
        <v>100</v>
      </c>
      <c r="H151" s="12" t="s">
        <v>156</v>
      </c>
      <c r="I151" s="12" t="s">
        <v>157</v>
      </c>
      <c r="J151" s="12" t="s">
        <v>158</v>
      </c>
      <c r="K151" s="12" t="s">
        <v>159</v>
      </c>
      <c r="L151" s="12" t="s">
        <v>160</v>
      </c>
      <c r="M151" s="12" t="s">
        <v>160</v>
      </c>
      <c r="N151" s="12"/>
      <c r="O151" s="12"/>
      <c r="P151" s="12" t="s">
        <v>100</v>
      </c>
      <c r="Q151" s="12" t="s">
        <v>100</v>
      </c>
      <c r="R151" s="12" t="s">
        <v>156</v>
      </c>
      <c r="S151" s="12" t="s">
        <v>157</v>
      </c>
      <c r="T151" s="12" t="s">
        <v>158</v>
      </c>
      <c r="U151" s="12" t="s">
        <v>159</v>
      </c>
      <c r="V151" s="12" t="s">
        <v>160</v>
      </c>
      <c r="W151" s="12" t="s">
        <v>160</v>
      </c>
    </row>
    <row r="152" spans="1:23" ht="15">
      <c r="A152" s="12" t="s">
        <v>154</v>
      </c>
      <c r="B152" s="12" t="s">
        <v>155</v>
      </c>
      <c r="C152" s="12"/>
      <c r="D152" s="12" t="s">
        <v>100</v>
      </c>
      <c r="E152" s="12" t="s">
        <v>100</v>
      </c>
      <c r="F152" s="12" t="s">
        <v>100</v>
      </c>
      <c r="G152" s="12" t="s">
        <v>100</v>
      </c>
      <c r="H152" s="12" t="s">
        <v>156</v>
      </c>
      <c r="I152" s="12" t="s">
        <v>157</v>
      </c>
      <c r="J152" s="12" t="s">
        <v>158</v>
      </c>
      <c r="K152" s="12" t="s">
        <v>159</v>
      </c>
      <c r="L152" s="12" t="s">
        <v>160</v>
      </c>
      <c r="M152" s="12" t="s">
        <v>160</v>
      </c>
      <c r="N152" s="12"/>
      <c r="O152" s="12"/>
      <c r="P152" s="12" t="s">
        <v>100</v>
      </c>
      <c r="Q152" s="12" t="s">
        <v>100</v>
      </c>
      <c r="R152" s="12" t="s">
        <v>156</v>
      </c>
      <c r="S152" s="12" t="s">
        <v>157</v>
      </c>
      <c r="T152" s="12" t="s">
        <v>158</v>
      </c>
      <c r="U152" s="12" t="s">
        <v>159</v>
      </c>
      <c r="V152" s="12" t="s">
        <v>160</v>
      </c>
      <c r="W152" s="12" t="s">
        <v>160</v>
      </c>
    </row>
    <row r="153" spans="1:23" ht="15">
      <c r="A153" s="12" t="s">
        <v>154</v>
      </c>
      <c r="B153" s="12"/>
      <c r="C153" s="12"/>
      <c r="D153" s="12" t="s">
        <v>100</v>
      </c>
      <c r="E153" s="12" t="s">
        <v>100</v>
      </c>
      <c r="F153" s="12" t="s">
        <v>100</v>
      </c>
      <c r="G153" s="12" t="s">
        <v>100</v>
      </c>
      <c r="H153" s="12" t="s">
        <v>156</v>
      </c>
      <c r="I153" s="12" t="s">
        <v>157</v>
      </c>
      <c r="J153" s="12" t="s">
        <v>158</v>
      </c>
      <c r="K153" s="12" t="s">
        <v>159</v>
      </c>
      <c r="L153" s="12" t="s">
        <v>160</v>
      </c>
      <c r="M153" s="12" t="s">
        <v>160</v>
      </c>
      <c r="N153" s="12"/>
      <c r="O153" s="12"/>
      <c r="P153" s="12" t="s">
        <v>100</v>
      </c>
      <c r="Q153" s="12" t="s">
        <v>100</v>
      </c>
      <c r="R153" s="12" t="s">
        <v>156</v>
      </c>
      <c r="S153" s="12" t="s">
        <v>157</v>
      </c>
      <c r="T153" s="12" t="s">
        <v>158</v>
      </c>
      <c r="U153" s="12" t="s">
        <v>159</v>
      </c>
      <c r="V153" s="12" t="s">
        <v>160</v>
      </c>
      <c r="W153" s="12" t="s">
        <v>160</v>
      </c>
    </row>
    <row r="154" spans="1:23" ht="15">
      <c r="A154" s="13" t="s">
        <v>161</v>
      </c>
      <c r="B154" s="13" t="s">
        <v>155</v>
      </c>
      <c r="C154" s="13" t="s">
        <v>148</v>
      </c>
      <c r="D154" s="13" t="s">
        <v>100</v>
      </c>
      <c r="E154" s="13" t="s">
        <v>100</v>
      </c>
      <c r="F154" s="13" t="s">
        <v>100</v>
      </c>
      <c r="G154" s="13" t="s">
        <v>162</v>
      </c>
      <c r="H154" s="13" t="s">
        <v>163</v>
      </c>
      <c r="I154" s="13" t="s">
        <v>164</v>
      </c>
      <c r="J154" s="13" t="s">
        <v>165</v>
      </c>
      <c r="K154" s="13" t="s">
        <v>166</v>
      </c>
      <c r="L154" s="13" t="s">
        <v>167</v>
      </c>
      <c r="M154" s="13" t="s">
        <v>167</v>
      </c>
      <c r="N154" s="13"/>
      <c r="O154" s="13"/>
      <c r="P154" s="13" t="s">
        <v>100</v>
      </c>
      <c r="Q154" s="13" t="s">
        <v>162</v>
      </c>
      <c r="R154" s="13" t="s">
        <v>163</v>
      </c>
      <c r="S154" s="13" t="s">
        <v>164</v>
      </c>
      <c r="T154" s="13" t="s">
        <v>165</v>
      </c>
      <c r="U154" s="13" t="s">
        <v>166</v>
      </c>
      <c r="V154" s="13" t="s">
        <v>167</v>
      </c>
      <c r="W154" s="13" t="s">
        <v>167</v>
      </c>
    </row>
    <row r="155" spans="1:23" ht="15">
      <c r="A155" s="12" t="s">
        <v>161</v>
      </c>
      <c r="B155" s="12" t="s">
        <v>155</v>
      </c>
      <c r="C155" s="12" t="s">
        <v>148</v>
      </c>
      <c r="D155" s="12" t="s">
        <v>100</v>
      </c>
      <c r="E155" s="12" t="s">
        <v>100</v>
      </c>
      <c r="F155" s="12" t="s">
        <v>100</v>
      </c>
      <c r="G155" s="12" t="s">
        <v>162</v>
      </c>
      <c r="H155" s="12" t="s">
        <v>163</v>
      </c>
      <c r="I155" s="12" t="s">
        <v>164</v>
      </c>
      <c r="J155" s="12" t="s">
        <v>165</v>
      </c>
      <c r="K155" s="12" t="s">
        <v>166</v>
      </c>
      <c r="L155" s="12" t="s">
        <v>167</v>
      </c>
      <c r="M155" s="12" t="s">
        <v>167</v>
      </c>
      <c r="N155" s="12"/>
      <c r="O155" s="12"/>
      <c r="P155" s="12" t="s">
        <v>100</v>
      </c>
      <c r="Q155" s="12" t="s">
        <v>162</v>
      </c>
      <c r="R155" s="12" t="s">
        <v>163</v>
      </c>
      <c r="S155" s="12" t="s">
        <v>164</v>
      </c>
      <c r="T155" s="12" t="s">
        <v>165</v>
      </c>
      <c r="U155" s="12" t="s">
        <v>166</v>
      </c>
      <c r="V155" s="12" t="s">
        <v>167</v>
      </c>
      <c r="W155" s="12" t="s">
        <v>167</v>
      </c>
    </row>
    <row r="156" spans="1:23" ht="15">
      <c r="A156" s="12" t="s">
        <v>161</v>
      </c>
      <c r="B156" s="12" t="s">
        <v>155</v>
      </c>
      <c r="C156" s="12"/>
      <c r="D156" s="12" t="s">
        <v>100</v>
      </c>
      <c r="E156" s="12" t="s">
        <v>100</v>
      </c>
      <c r="F156" s="12" t="s">
        <v>100</v>
      </c>
      <c r="G156" s="12" t="s">
        <v>162</v>
      </c>
      <c r="H156" s="12" t="s">
        <v>163</v>
      </c>
      <c r="I156" s="12" t="s">
        <v>164</v>
      </c>
      <c r="J156" s="12" t="s">
        <v>165</v>
      </c>
      <c r="K156" s="12" t="s">
        <v>166</v>
      </c>
      <c r="L156" s="12" t="s">
        <v>167</v>
      </c>
      <c r="M156" s="12" t="s">
        <v>167</v>
      </c>
      <c r="N156" s="12"/>
      <c r="O156" s="12"/>
      <c r="P156" s="12" t="s">
        <v>100</v>
      </c>
      <c r="Q156" s="12" t="s">
        <v>162</v>
      </c>
      <c r="R156" s="12" t="s">
        <v>163</v>
      </c>
      <c r="S156" s="12" t="s">
        <v>164</v>
      </c>
      <c r="T156" s="12" t="s">
        <v>165</v>
      </c>
      <c r="U156" s="12" t="s">
        <v>166</v>
      </c>
      <c r="V156" s="12" t="s">
        <v>167</v>
      </c>
      <c r="W156" s="12" t="s">
        <v>167</v>
      </c>
    </row>
    <row r="157" spans="1:23" ht="15">
      <c r="A157" s="12" t="s">
        <v>161</v>
      </c>
      <c r="B157" s="12"/>
      <c r="C157" s="12"/>
      <c r="D157" s="12" t="s">
        <v>100</v>
      </c>
      <c r="E157" s="12" t="s">
        <v>100</v>
      </c>
      <c r="F157" s="12" t="s">
        <v>100</v>
      </c>
      <c r="G157" s="12" t="s">
        <v>162</v>
      </c>
      <c r="H157" s="12" t="s">
        <v>163</v>
      </c>
      <c r="I157" s="12" t="s">
        <v>164</v>
      </c>
      <c r="J157" s="12" t="s">
        <v>165</v>
      </c>
      <c r="K157" s="12" t="s">
        <v>166</v>
      </c>
      <c r="L157" s="12" t="s">
        <v>167</v>
      </c>
      <c r="M157" s="12" t="s">
        <v>167</v>
      </c>
      <c r="N157" s="12"/>
      <c r="O157" s="12"/>
      <c r="P157" s="12" t="s">
        <v>100</v>
      </c>
      <c r="Q157" s="12" t="s">
        <v>162</v>
      </c>
      <c r="R157" s="12" t="s">
        <v>163</v>
      </c>
      <c r="S157" s="12" t="s">
        <v>164</v>
      </c>
      <c r="T157" s="12" t="s">
        <v>165</v>
      </c>
      <c r="U157" s="12" t="s">
        <v>166</v>
      </c>
      <c r="V157" s="12" t="s">
        <v>167</v>
      </c>
      <c r="W157" s="12" t="s">
        <v>167</v>
      </c>
    </row>
    <row r="158" spans="1:23" ht="15">
      <c r="A158" s="13" t="s">
        <v>168</v>
      </c>
      <c r="B158" s="13" t="s">
        <v>169</v>
      </c>
      <c r="C158" s="13" t="s">
        <v>148</v>
      </c>
      <c r="D158" s="13" t="s">
        <v>100</v>
      </c>
      <c r="E158" s="13" t="s">
        <v>100</v>
      </c>
      <c r="F158" s="13" t="s">
        <v>100</v>
      </c>
      <c r="G158" s="13" t="s">
        <v>170</v>
      </c>
      <c r="H158" s="13" t="s">
        <v>171</v>
      </c>
      <c r="I158" s="13" t="s">
        <v>172</v>
      </c>
      <c r="J158" s="13" t="s">
        <v>172</v>
      </c>
      <c r="K158" s="13" t="s">
        <v>172</v>
      </c>
      <c r="L158" s="13" t="s">
        <v>171</v>
      </c>
      <c r="M158" s="13" t="s">
        <v>171</v>
      </c>
      <c r="N158" s="13"/>
      <c r="O158" s="13"/>
      <c r="P158" s="13" t="s">
        <v>100</v>
      </c>
      <c r="Q158" s="13" t="s">
        <v>170</v>
      </c>
      <c r="R158" s="13" t="s">
        <v>171</v>
      </c>
      <c r="S158" s="13" t="s">
        <v>172</v>
      </c>
      <c r="T158" s="13" t="s">
        <v>172</v>
      </c>
      <c r="U158" s="13" t="s">
        <v>172</v>
      </c>
      <c r="V158" s="13" t="s">
        <v>171</v>
      </c>
      <c r="W158" s="13" t="s">
        <v>171</v>
      </c>
    </row>
    <row r="159" spans="1:23" ht="15">
      <c r="A159" s="12" t="s">
        <v>168</v>
      </c>
      <c r="B159" s="12" t="s">
        <v>169</v>
      </c>
      <c r="C159" s="12" t="s">
        <v>148</v>
      </c>
      <c r="D159" s="12" t="s">
        <v>100</v>
      </c>
      <c r="E159" s="12" t="s">
        <v>100</v>
      </c>
      <c r="F159" s="12" t="s">
        <v>100</v>
      </c>
      <c r="G159" s="12" t="s">
        <v>170</v>
      </c>
      <c r="H159" s="12" t="s">
        <v>171</v>
      </c>
      <c r="I159" s="12" t="s">
        <v>172</v>
      </c>
      <c r="J159" s="12" t="s">
        <v>172</v>
      </c>
      <c r="K159" s="12" t="s">
        <v>172</v>
      </c>
      <c r="L159" s="12" t="s">
        <v>171</v>
      </c>
      <c r="M159" s="12" t="s">
        <v>171</v>
      </c>
      <c r="N159" s="12"/>
      <c r="O159" s="12"/>
      <c r="P159" s="12" t="s">
        <v>100</v>
      </c>
      <c r="Q159" s="12" t="s">
        <v>170</v>
      </c>
      <c r="R159" s="12" t="s">
        <v>171</v>
      </c>
      <c r="S159" s="12" t="s">
        <v>172</v>
      </c>
      <c r="T159" s="12" t="s">
        <v>172</v>
      </c>
      <c r="U159" s="12" t="s">
        <v>172</v>
      </c>
      <c r="V159" s="12" t="s">
        <v>171</v>
      </c>
      <c r="W159" s="12" t="s">
        <v>171</v>
      </c>
    </row>
    <row r="160" spans="1:23" ht="15">
      <c r="A160" s="12" t="s">
        <v>168</v>
      </c>
      <c r="B160" s="12" t="s">
        <v>169</v>
      </c>
      <c r="C160" s="12"/>
      <c r="D160" s="12" t="s">
        <v>100</v>
      </c>
      <c r="E160" s="12" t="s">
        <v>100</v>
      </c>
      <c r="F160" s="12" t="s">
        <v>100</v>
      </c>
      <c r="G160" s="12" t="s">
        <v>170</v>
      </c>
      <c r="H160" s="12" t="s">
        <v>171</v>
      </c>
      <c r="I160" s="12" t="s">
        <v>172</v>
      </c>
      <c r="J160" s="12" t="s">
        <v>172</v>
      </c>
      <c r="K160" s="12" t="s">
        <v>172</v>
      </c>
      <c r="L160" s="12" t="s">
        <v>171</v>
      </c>
      <c r="M160" s="12" t="s">
        <v>171</v>
      </c>
      <c r="N160" s="12"/>
      <c r="O160" s="12"/>
      <c r="P160" s="12" t="s">
        <v>100</v>
      </c>
      <c r="Q160" s="12" t="s">
        <v>170</v>
      </c>
      <c r="R160" s="12" t="s">
        <v>171</v>
      </c>
      <c r="S160" s="12" t="s">
        <v>172</v>
      </c>
      <c r="T160" s="12" t="s">
        <v>172</v>
      </c>
      <c r="U160" s="12" t="s">
        <v>172</v>
      </c>
      <c r="V160" s="12" t="s">
        <v>171</v>
      </c>
      <c r="W160" s="12" t="s">
        <v>171</v>
      </c>
    </row>
    <row r="161" spans="1:23" ht="15">
      <c r="A161" s="12" t="s">
        <v>168</v>
      </c>
      <c r="B161" s="12"/>
      <c r="C161" s="12"/>
      <c r="D161" s="12" t="s">
        <v>100</v>
      </c>
      <c r="E161" s="12" t="s">
        <v>100</v>
      </c>
      <c r="F161" s="12" t="s">
        <v>100</v>
      </c>
      <c r="G161" s="12" t="s">
        <v>170</v>
      </c>
      <c r="H161" s="12" t="s">
        <v>171</v>
      </c>
      <c r="I161" s="12" t="s">
        <v>172</v>
      </c>
      <c r="J161" s="12" t="s">
        <v>172</v>
      </c>
      <c r="K161" s="12" t="s">
        <v>172</v>
      </c>
      <c r="L161" s="12" t="s">
        <v>171</v>
      </c>
      <c r="M161" s="12" t="s">
        <v>171</v>
      </c>
      <c r="N161" s="12"/>
      <c r="O161" s="12"/>
      <c r="P161" s="12" t="s">
        <v>100</v>
      </c>
      <c r="Q161" s="12" t="s">
        <v>170</v>
      </c>
      <c r="R161" s="12" t="s">
        <v>171</v>
      </c>
      <c r="S161" s="12" t="s">
        <v>172</v>
      </c>
      <c r="T161" s="12" t="s">
        <v>172</v>
      </c>
      <c r="U161" s="12" t="s">
        <v>172</v>
      </c>
      <c r="V161" s="12" t="s">
        <v>171</v>
      </c>
      <c r="W161" s="12" t="s">
        <v>171</v>
      </c>
    </row>
    <row r="162" spans="1:23" ht="15">
      <c r="A162" s="12"/>
      <c r="B162" s="12"/>
      <c r="C162" s="12"/>
      <c r="D162" s="12" t="s">
        <v>149</v>
      </c>
      <c r="E162" s="12" t="s">
        <v>150</v>
      </c>
      <c r="F162" s="12" t="s">
        <v>151</v>
      </c>
      <c r="G162" s="12" t="s">
        <v>152</v>
      </c>
      <c r="H162" s="12" t="s">
        <v>173</v>
      </c>
      <c r="I162" s="12" t="s">
        <v>174</v>
      </c>
      <c r="J162" s="12" t="s">
        <v>175</v>
      </c>
      <c r="K162" s="12" t="s">
        <v>176</v>
      </c>
      <c r="L162" s="12" t="s">
        <v>177</v>
      </c>
      <c r="M162" s="12" t="s">
        <v>177</v>
      </c>
      <c r="N162" s="12"/>
      <c r="O162" s="12"/>
      <c r="P162" s="12" t="s">
        <v>151</v>
      </c>
      <c r="Q162" s="12" t="s">
        <v>152</v>
      </c>
      <c r="R162" s="12" t="s">
        <v>173</v>
      </c>
      <c r="S162" s="12" t="s">
        <v>174</v>
      </c>
      <c r="T162" s="12" t="s">
        <v>175</v>
      </c>
      <c r="U162" s="12" t="s">
        <v>176</v>
      </c>
      <c r="V162" s="12" t="s">
        <v>177</v>
      </c>
      <c r="W162" s="12" t="s">
        <v>177</v>
      </c>
    </row>
  </sheetData>
  <sheetProtection selectLockedCells="1" selectUnlockedCells="1"/>
  <mergeCells count="4">
    <mergeCell ref="A7:A11"/>
    <mergeCell ref="B7:B11"/>
    <mergeCell ref="B18:H18"/>
    <mergeCell ref="B107:H107"/>
  </mergeCells>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sheetPr>
    <tabColor indexed="21"/>
  </sheetPr>
  <dimension ref="A1:R17"/>
  <sheetViews>
    <sheetView topLeftCell="A10" workbookViewId="0">
      <selection activeCell="B21" sqref="B21"/>
    </sheetView>
  </sheetViews>
  <sheetFormatPr defaultRowHeight="10.5"/>
  <cols>
    <col min="1" max="1" width="43.7109375" style="14" customWidth="1"/>
    <col min="2" max="3" width="11.140625" style="14" customWidth="1"/>
    <col min="4" max="8" width="10.5703125" style="14" customWidth="1"/>
    <col min="9" max="9" width="6.85546875" style="14" customWidth="1"/>
    <col min="10" max="10" width="4.42578125" style="14" customWidth="1"/>
    <col min="11" max="11" width="9.140625" style="14"/>
    <col min="12" max="12" width="9.85546875" style="14" customWidth="1"/>
    <col min="13" max="16384" width="9.140625" style="14"/>
  </cols>
  <sheetData>
    <row r="1" spans="1:18" ht="17.25" customHeight="1">
      <c r="A1" s="119" t="s">
        <v>281</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0</v>
      </c>
      <c r="C3" s="91">
        <v>186</v>
      </c>
      <c r="D3" s="91">
        <v>189</v>
      </c>
      <c r="E3" s="91">
        <v>189</v>
      </c>
      <c r="F3" s="91">
        <v>189</v>
      </c>
      <c r="G3" s="91">
        <v>189</v>
      </c>
      <c r="H3" s="91">
        <v>189</v>
      </c>
      <c r="J3" s="90"/>
      <c r="L3" s="90"/>
      <c r="M3" s="90"/>
      <c r="N3" s="90"/>
      <c r="O3" s="90"/>
      <c r="P3" s="90"/>
      <c r="Q3" s="90"/>
      <c r="R3" s="90"/>
    </row>
    <row r="4" spans="1:18">
      <c r="A4" s="61" t="s">
        <v>249</v>
      </c>
      <c r="B4" s="92"/>
      <c r="C4" s="92"/>
      <c r="D4" s="92"/>
      <c r="E4" s="92"/>
      <c r="F4" s="92"/>
      <c r="G4" s="92"/>
      <c r="H4" s="92"/>
      <c r="L4" s="90"/>
      <c r="M4" s="90"/>
      <c r="N4" s="90"/>
      <c r="O4" s="90"/>
      <c r="P4" s="90"/>
      <c r="Q4" s="90"/>
      <c r="R4" s="90"/>
    </row>
    <row r="5" spans="1:18" ht="11.25">
      <c r="A5" s="61" t="s">
        <v>250</v>
      </c>
      <c r="B5" s="92"/>
      <c r="C5" s="92">
        <v>70.730999999999995</v>
      </c>
      <c r="D5" s="92">
        <v>71.997</v>
      </c>
      <c r="E5" s="92">
        <v>73.634</v>
      </c>
      <c r="F5" s="92">
        <v>75.61</v>
      </c>
      <c r="G5" s="92">
        <v>75.61</v>
      </c>
      <c r="H5" s="92">
        <v>75.61</v>
      </c>
      <c r="L5" s="90"/>
      <c r="M5" s="90"/>
      <c r="N5" s="90"/>
      <c r="O5" s="90"/>
      <c r="P5" s="90"/>
      <c r="Q5" s="90"/>
      <c r="R5" s="90"/>
    </row>
    <row r="6" spans="1:18">
      <c r="A6" s="61" t="s">
        <v>227</v>
      </c>
      <c r="B6" s="106">
        <v>0</v>
      </c>
      <c r="C6" s="106">
        <v>0</v>
      </c>
      <c r="D6" s="92">
        <v>27</v>
      </c>
      <c r="E6" s="92">
        <v>27</v>
      </c>
      <c r="F6" s="92">
        <v>27</v>
      </c>
      <c r="G6" s="92">
        <v>27</v>
      </c>
      <c r="H6" s="92">
        <v>27</v>
      </c>
    </row>
    <row r="7" spans="1:18">
      <c r="A7" s="63" t="s">
        <v>228</v>
      </c>
      <c r="B7" s="104">
        <v>0</v>
      </c>
      <c r="C7" s="104">
        <v>256.73099999999999</v>
      </c>
      <c r="D7" s="93">
        <v>287.99700000000001</v>
      </c>
      <c r="E7" s="93">
        <v>289.63400000000001</v>
      </c>
      <c r="F7" s="93">
        <v>291.61</v>
      </c>
      <c r="G7" s="93">
        <v>291.61</v>
      </c>
      <c r="H7" s="93">
        <v>291.61</v>
      </c>
    </row>
    <row r="8" spans="1:18">
      <c r="A8" s="59"/>
      <c r="B8" s="107"/>
      <c r="C8" s="107"/>
      <c r="D8" s="91"/>
      <c r="E8" s="91"/>
      <c r="F8" s="91"/>
      <c r="G8" s="91"/>
      <c r="H8" s="91"/>
    </row>
    <row r="9" spans="1:18" ht="24" customHeight="1">
      <c r="A9" s="124" t="s">
        <v>282</v>
      </c>
      <c r="B9" s="124"/>
      <c r="C9" s="124"/>
      <c r="D9" s="124"/>
      <c r="E9" s="124"/>
      <c r="F9" s="124"/>
      <c r="G9" s="124"/>
      <c r="H9" s="124"/>
    </row>
    <row r="10" spans="1:18">
      <c r="A10" s="59"/>
      <c r="B10" s="91"/>
      <c r="C10" s="91"/>
      <c r="D10" s="91"/>
      <c r="E10" s="91"/>
      <c r="F10" s="91"/>
      <c r="G10" s="91"/>
      <c r="H10" s="91"/>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283</v>
      </c>
      <c r="B15" s="77"/>
      <c r="C15" s="77"/>
      <c r="D15" s="77">
        <v>27</v>
      </c>
      <c r="E15" s="77">
        <v>27</v>
      </c>
      <c r="F15" s="77">
        <v>27</v>
      </c>
      <c r="G15" s="77">
        <v>27</v>
      </c>
      <c r="H15" s="77">
        <v>27</v>
      </c>
    </row>
    <row r="16" spans="1:18" ht="126">
      <c r="A16" s="96" t="s">
        <v>284</v>
      </c>
      <c r="B16" s="77"/>
      <c r="C16" s="77"/>
      <c r="D16" s="77"/>
      <c r="E16" s="77"/>
      <c r="F16" s="77"/>
      <c r="G16" s="77"/>
      <c r="H16" s="77"/>
    </row>
    <row r="17" spans="1:8">
      <c r="A17" s="100"/>
      <c r="B17" s="101"/>
      <c r="C17" s="101"/>
      <c r="D17" s="101"/>
      <c r="E17" s="101"/>
      <c r="F17" s="101"/>
      <c r="G17" s="101"/>
      <c r="H17"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sheetPr>
    <tabColor indexed="21"/>
  </sheetPr>
  <dimension ref="A1:R20"/>
  <sheetViews>
    <sheetView topLeftCell="A13" workbookViewId="0">
      <selection activeCell="A21" sqref="A21"/>
    </sheetView>
  </sheetViews>
  <sheetFormatPr defaultRowHeight="10.5"/>
  <cols>
    <col min="1" max="1" width="45.7109375" style="14" customWidth="1"/>
    <col min="2" max="3" width="9.7109375" style="14" customWidth="1"/>
    <col min="4" max="8" width="10.5703125" style="14" customWidth="1"/>
    <col min="9" max="9" width="6.85546875" style="14" customWidth="1"/>
    <col min="10" max="10" width="4.42578125" style="14" customWidth="1"/>
    <col min="11" max="11" width="9.140625" style="14"/>
    <col min="12" max="12" width="9.85546875" style="14" customWidth="1"/>
    <col min="13" max="16384" width="9.140625" style="14"/>
  </cols>
  <sheetData>
    <row r="1" spans="1:18" ht="21" customHeight="1">
      <c r="A1" s="125" t="s">
        <v>285</v>
      </c>
      <c r="B1" s="125"/>
      <c r="C1" s="125"/>
      <c r="D1" s="125"/>
      <c r="E1" s="125"/>
      <c r="F1" s="125"/>
      <c r="G1" s="125"/>
      <c r="H1" s="125"/>
    </row>
    <row r="2" spans="1:18">
      <c r="A2" s="100"/>
      <c r="B2" s="100">
        <v>2014</v>
      </c>
      <c r="C2" s="100">
        <v>2015</v>
      </c>
      <c r="D2" s="100">
        <v>2016</v>
      </c>
      <c r="E2" s="100">
        <v>2017</v>
      </c>
      <c r="F2" s="100">
        <v>2018</v>
      </c>
      <c r="G2" s="100">
        <v>2019</v>
      </c>
      <c r="H2" s="100">
        <v>2020</v>
      </c>
      <c r="J2" s="90"/>
    </row>
    <row r="3" spans="1:18">
      <c r="A3" s="59" t="s">
        <v>225</v>
      </c>
      <c r="B3" s="91">
        <v>4419.1180000000004</v>
      </c>
      <c r="C3" s="91">
        <v>669</v>
      </c>
      <c r="D3" s="91">
        <v>428</v>
      </c>
      <c r="E3" s="91">
        <v>422</v>
      </c>
      <c r="F3" s="91">
        <v>420</v>
      </c>
      <c r="G3" s="91">
        <v>420</v>
      </c>
      <c r="H3" s="91">
        <v>420</v>
      </c>
      <c r="J3" s="90"/>
      <c r="L3" s="90"/>
      <c r="M3" s="90"/>
      <c r="N3" s="90"/>
      <c r="O3" s="90"/>
      <c r="P3" s="90"/>
      <c r="Q3" s="90"/>
      <c r="R3" s="90"/>
    </row>
    <row r="4" spans="1:18">
      <c r="A4" s="61" t="s">
        <v>249</v>
      </c>
      <c r="B4" s="92">
        <v>38.493000000000002</v>
      </c>
      <c r="C4" s="92"/>
      <c r="D4" s="92"/>
      <c r="E4" s="92"/>
      <c r="F4" s="92"/>
      <c r="G4" s="92"/>
      <c r="H4" s="92"/>
      <c r="L4" s="90"/>
      <c r="M4" s="90"/>
      <c r="N4" s="90"/>
      <c r="O4" s="90"/>
      <c r="P4" s="90"/>
      <c r="Q4" s="90"/>
      <c r="R4" s="90"/>
    </row>
    <row r="5" spans="1:18" ht="11.25">
      <c r="A5" s="61" t="s">
        <v>250</v>
      </c>
      <c r="B5" s="92"/>
      <c r="C5" s="92">
        <v>56.24</v>
      </c>
      <c r="D5" s="92">
        <v>181.32</v>
      </c>
      <c r="E5" s="92">
        <v>178.934</v>
      </c>
      <c r="F5" s="92">
        <v>174.84100000000001</v>
      </c>
      <c r="G5" s="92">
        <v>174.84100000000001</v>
      </c>
      <c r="H5" s="92">
        <v>174.84200000000001</v>
      </c>
      <c r="L5" s="90"/>
      <c r="M5" s="90"/>
      <c r="N5" s="90"/>
      <c r="O5" s="90"/>
      <c r="P5" s="90"/>
      <c r="Q5" s="90"/>
      <c r="R5" s="90"/>
    </row>
    <row r="6" spans="1:18">
      <c r="A6" s="61" t="s">
        <v>227</v>
      </c>
      <c r="B6" s="92">
        <v>0</v>
      </c>
      <c r="C6" s="92">
        <v>-4.3999999999999702</v>
      </c>
      <c r="D6" s="92">
        <v>-89.4</v>
      </c>
      <c r="E6" s="92">
        <v>-89.4</v>
      </c>
      <c r="F6" s="92">
        <v>-89.4</v>
      </c>
      <c r="G6" s="92">
        <v>-89.4</v>
      </c>
      <c r="H6" s="92">
        <v>-89.4</v>
      </c>
    </row>
    <row r="7" spans="1:18">
      <c r="A7" s="63" t="s">
        <v>228</v>
      </c>
      <c r="B7" s="93">
        <v>4457.6109999999999</v>
      </c>
      <c r="C7" s="93">
        <v>720.84</v>
      </c>
      <c r="D7" s="93">
        <v>519.91999999999996</v>
      </c>
      <c r="E7" s="93">
        <v>511.53399999999999</v>
      </c>
      <c r="F7" s="93">
        <v>505.44099999999997</v>
      </c>
      <c r="G7" s="93">
        <v>505.44099999999997</v>
      </c>
      <c r="H7" s="93">
        <v>505.44200000000001</v>
      </c>
    </row>
    <row r="8" spans="1:18">
      <c r="A8" s="59"/>
      <c r="B8" s="91"/>
      <c r="C8" s="91"/>
      <c r="D8" s="91"/>
      <c r="E8" s="91"/>
      <c r="F8" s="91"/>
      <c r="G8" s="91"/>
      <c r="H8" s="91"/>
    </row>
    <row r="9" spans="1:18" ht="27" customHeight="1">
      <c r="A9" s="124" t="s">
        <v>286</v>
      </c>
      <c r="B9" s="124"/>
      <c r="C9" s="124"/>
      <c r="D9" s="124"/>
      <c r="E9" s="124"/>
      <c r="F9" s="124"/>
      <c r="G9" s="124"/>
      <c r="H9" s="124"/>
    </row>
    <row r="10" spans="1:18">
      <c r="A10" s="59"/>
      <c r="B10" s="91"/>
      <c r="C10" s="91"/>
      <c r="D10" s="91"/>
      <c r="E10" s="91"/>
      <c r="F10" s="91"/>
      <c r="G10" s="91"/>
      <c r="H10" s="91"/>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287</v>
      </c>
      <c r="B15" s="95"/>
      <c r="C15" s="95"/>
      <c r="D15" s="95">
        <v>-85</v>
      </c>
      <c r="E15" s="95">
        <v>-85</v>
      </c>
      <c r="F15" s="95">
        <v>-85</v>
      </c>
      <c r="G15" s="95">
        <v>-85</v>
      </c>
      <c r="H15" s="95">
        <v>-85</v>
      </c>
    </row>
    <row r="16" spans="1:18" ht="52.5">
      <c r="A16" s="96" t="s">
        <v>288</v>
      </c>
      <c r="B16" s="77"/>
      <c r="C16" s="77"/>
      <c r="D16" s="77"/>
      <c r="E16" s="77"/>
      <c r="F16" s="77"/>
      <c r="G16" s="77"/>
      <c r="H16" s="77"/>
    </row>
    <row r="17" spans="1:8">
      <c r="A17" s="96"/>
      <c r="B17" s="77"/>
      <c r="C17" s="77"/>
      <c r="D17" s="77"/>
      <c r="E17" s="77"/>
      <c r="F17" s="77"/>
      <c r="G17" s="77"/>
      <c r="H17" s="77"/>
    </row>
    <row r="18" spans="1:8">
      <c r="A18" s="102" t="s">
        <v>270</v>
      </c>
      <c r="B18" s="95"/>
      <c r="C18" s="95">
        <v>-4.4000000000000004</v>
      </c>
      <c r="D18" s="95">
        <v>-4.4000000000000004</v>
      </c>
      <c r="E18" s="95">
        <v>-4.4000000000000004</v>
      </c>
      <c r="F18" s="95">
        <v>-4.4000000000000004</v>
      </c>
      <c r="G18" s="95">
        <v>-4.4000000000000004</v>
      </c>
      <c r="H18" s="95">
        <v>-4.4000000000000004</v>
      </c>
    </row>
    <row r="19" spans="1:8" ht="42">
      <c r="A19" s="96" t="s">
        <v>271</v>
      </c>
      <c r="B19" s="77"/>
      <c r="C19" s="77"/>
      <c r="D19" s="77"/>
      <c r="E19" s="77"/>
      <c r="F19" s="77"/>
      <c r="G19" s="77"/>
      <c r="H19" s="77"/>
    </row>
    <row r="20" spans="1:8">
      <c r="A20" s="100"/>
      <c r="B20" s="101"/>
      <c r="C20" s="101"/>
      <c r="D20" s="101"/>
      <c r="E20" s="101"/>
      <c r="F20" s="101"/>
      <c r="G20" s="101"/>
      <c r="H20"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sheetPr>
    <tabColor indexed="21"/>
  </sheetPr>
  <dimension ref="A1:R13"/>
  <sheetViews>
    <sheetView topLeftCell="A10" workbookViewId="0">
      <selection activeCell="A14" sqref="A14"/>
    </sheetView>
  </sheetViews>
  <sheetFormatPr defaultRowHeight="10.5"/>
  <cols>
    <col min="1" max="1" width="45.140625" style="14" customWidth="1"/>
    <col min="2" max="3" width="9.7109375" style="14" customWidth="1"/>
    <col min="4" max="4" width="12.140625" style="14" customWidth="1"/>
    <col min="5" max="8" width="10.5703125" style="14" customWidth="1"/>
    <col min="9" max="9" width="6.85546875" style="14" customWidth="1"/>
    <col min="10" max="10" width="4.42578125" style="14" customWidth="1"/>
    <col min="11" max="11" width="9.140625" style="14"/>
    <col min="12" max="12" width="9.85546875" style="14" customWidth="1"/>
    <col min="13" max="16384" width="9.140625" style="14"/>
  </cols>
  <sheetData>
    <row r="1" spans="1:18" ht="16.5" customHeight="1">
      <c r="A1" s="125" t="s">
        <v>289</v>
      </c>
      <c r="B1" s="125"/>
      <c r="C1" s="125"/>
      <c r="D1" s="125"/>
      <c r="E1" s="125"/>
      <c r="F1" s="125"/>
      <c r="G1" s="125"/>
      <c r="H1" s="125"/>
    </row>
    <row r="2" spans="1:18">
      <c r="A2" s="100"/>
      <c r="B2" s="100">
        <v>2014</v>
      </c>
      <c r="C2" s="100">
        <v>2015</v>
      </c>
      <c r="D2" s="100">
        <v>2016</v>
      </c>
      <c r="E2" s="100">
        <v>2017</v>
      </c>
      <c r="F2" s="100">
        <v>2018</v>
      </c>
      <c r="G2" s="100">
        <v>2019</v>
      </c>
      <c r="H2" s="100">
        <v>2020</v>
      </c>
      <c r="J2" s="90"/>
    </row>
    <row r="3" spans="1:18">
      <c r="A3" s="59" t="s">
        <v>225</v>
      </c>
      <c r="B3" s="91">
        <v>1334.079</v>
      </c>
      <c r="C3" s="91">
        <v>133.6</v>
      </c>
      <c r="D3" s="91">
        <v>139.6</v>
      </c>
      <c r="E3" s="91">
        <v>139.6</v>
      </c>
      <c r="F3" s="91">
        <v>139.6</v>
      </c>
      <c r="G3" s="91">
        <v>139.6</v>
      </c>
      <c r="H3" s="91">
        <v>139.6</v>
      </c>
      <c r="J3" s="90"/>
      <c r="L3" s="90"/>
      <c r="M3" s="90"/>
      <c r="N3" s="90"/>
      <c r="O3" s="90"/>
      <c r="P3" s="90"/>
      <c r="Q3" s="90"/>
      <c r="R3" s="90"/>
    </row>
    <row r="4" spans="1:18">
      <c r="A4" s="61" t="s">
        <v>249</v>
      </c>
      <c r="B4" s="92">
        <v>48.627000000000002</v>
      </c>
      <c r="C4" s="92"/>
      <c r="D4" s="92"/>
      <c r="E4" s="92"/>
      <c r="F4" s="92"/>
      <c r="G4" s="92"/>
      <c r="H4" s="92"/>
      <c r="L4" s="90"/>
      <c r="M4" s="90"/>
      <c r="N4" s="90"/>
      <c r="O4" s="90"/>
      <c r="P4" s="90"/>
      <c r="Q4" s="90"/>
      <c r="R4" s="90"/>
    </row>
    <row r="5" spans="1:18" ht="11.25">
      <c r="A5" s="61" t="s">
        <v>250</v>
      </c>
      <c r="B5" s="92"/>
      <c r="C5" s="92">
        <v>-4.3559999999999999</v>
      </c>
      <c r="D5" s="92">
        <v>-5.4669999999999996</v>
      </c>
      <c r="E5" s="92">
        <v>-6.2439999999999998</v>
      </c>
      <c r="F5" s="92">
        <v>-6.2039999999999997</v>
      </c>
      <c r="G5" s="92">
        <v>-6.2039999999999997</v>
      </c>
      <c r="H5" s="92">
        <v>-6.2039999999999997</v>
      </c>
      <c r="L5" s="90"/>
      <c r="M5" s="90"/>
      <c r="N5" s="90"/>
      <c r="O5" s="90"/>
      <c r="P5" s="90"/>
      <c r="Q5" s="90"/>
      <c r="R5" s="90"/>
    </row>
    <row r="6" spans="1:18">
      <c r="A6" s="61" t="s">
        <v>227</v>
      </c>
      <c r="B6" s="92">
        <v>0</v>
      </c>
      <c r="C6" s="92">
        <v>0</v>
      </c>
      <c r="D6" s="92">
        <v>0</v>
      </c>
      <c r="E6" s="92">
        <v>0</v>
      </c>
      <c r="F6" s="92">
        <v>0</v>
      </c>
      <c r="G6" s="92">
        <v>0</v>
      </c>
      <c r="H6" s="92">
        <v>0</v>
      </c>
    </row>
    <row r="7" spans="1:18">
      <c r="A7" s="63" t="s">
        <v>228</v>
      </c>
      <c r="B7" s="93">
        <v>1382.7059999999999</v>
      </c>
      <c r="C7" s="93">
        <v>129.244</v>
      </c>
      <c r="D7" s="93">
        <v>134.13300000000001</v>
      </c>
      <c r="E7" s="93">
        <v>133.35599999999999</v>
      </c>
      <c r="F7" s="93">
        <v>133.39599999999999</v>
      </c>
      <c r="G7" s="93">
        <v>133.39599999999999</v>
      </c>
      <c r="H7" s="93">
        <v>133.39599999999999</v>
      </c>
    </row>
    <row r="8" spans="1:18">
      <c r="A8" s="59"/>
      <c r="B8" s="91"/>
      <c r="C8" s="91"/>
      <c r="D8" s="91"/>
      <c r="E8" s="91"/>
      <c r="F8" s="91"/>
      <c r="G8" s="91"/>
      <c r="H8" s="91"/>
    </row>
    <row r="9" spans="1:18" ht="42.75" customHeight="1">
      <c r="A9" s="124" t="s">
        <v>290</v>
      </c>
      <c r="B9" s="124"/>
      <c r="C9" s="124"/>
      <c r="D9" s="124"/>
      <c r="E9" s="124"/>
      <c r="F9" s="124"/>
      <c r="G9" s="124"/>
      <c r="H9" s="124"/>
    </row>
    <row r="10" spans="1:18">
      <c r="A10" s="59"/>
      <c r="B10" s="91"/>
      <c r="C10" s="91"/>
      <c r="D10" s="91"/>
      <c r="E10" s="91"/>
      <c r="F10" s="91"/>
      <c r="G10" s="91"/>
      <c r="H10" s="91"/>
    </row>
    <row r="11" spans="1:18">
      <c r="A11" s="80" t="s">
        <v>252</v>
      </c>
      <c r="B11" s="77"/>
      <c r="C11" s="77"/>
      <c r="D11" s="77"/>
      <c r="E11" s="77"/>
      <c r="F11" s="77"/>
      <c r="G11" s="77"/>
      <c r="H11" s="77"/>
    </row>
    <row r="12" spans="1:18">
      <c r="A12" s="94" t="s">
        <v>291</v>
      </c>
      <c r="B12" s="77"/>
      <c r="C12" s="77"/>
      <c r="D12" s="77"/>
      <c r="E12" s="77"/>
      <c r="F12" s="77"/>
      <c r="G12" s="77"/>
      <c r="H12" s="77"/>
    </row>
    <row r="13" spans="1:18">
      <c r="A13" s="100"/>
      <c r="B13" s="101"/>
      <c r="C13" s="101"/>
      <c r="D13" s="101"/>
      <c r="E13" s="101"/>
      <c r="F13" s="101"/>
      <c r="G13" s="101"/>
      <c r="H13"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sheetPr>
    <tabColor indexed="21"/>
  </sheetPr>
  <dimension ref="A1:R33"/>
  <sheetViews>
    <sheetView topLeftCell="A22" zoomScale="90" zoomScaleNormal="90" workbookViewId="0">
      <selection activeCell="B37" sqref="B37"/>
    </sheetView>
  </sheetViews>
  <sheetFormatPr defaultRowHeight="11.25" customHeight="1"/>
  <cols>
    <col min="1" max="1" width="44" style="14" customWidth="1"/>
    <col min="2" max="3" width="9.7109375" style="14" customWidth="1"/>
    <col min="4" max="8" width="10.5703125" style="14" customWidth="1"/>
    <col min="9" max="9" width="10.28515625" style="14" customWidth="1"/>
    <col min="10" max="10" width="4.42578125" style="14" customWidth="1"/>
    <col min="11" max="11" width="9.140625" style="14"/>
    <col min="12" max="12" width="9.85546875" style="14" customWidth="1"/>
    <col min="13" max="16384" width="9.140625" style="14"/>
  </cols>
  <sheetData>
    <row r="1" spans="1:18" ht="18.75" customHeight="1">
      <c r="A1" s="119" t="s">
        <v>292</v>
      </c>
      <c r="B1" s="119"/>
      <c r="C1" s="119"/>
      <c r="D1" s="119"/>
      <c r="E1" s="119"/>
      <c r="F1" s="119"/>
      <c r="G1" s="119"/>
      <c r="H1" s="119"/>
    </row>
    <row r="2" spans="1:18" ht="11.25" customHeight="1">
      <c r="A2" s="58"/>
      <c r="B2" s="58">
        <v>2014</v>
      </c>
      <c r="C2" s="58">
        <v>2015</v>
      </c>
      <c r="D2" s="58">
        <v>2016</v>
      </c>
      <c r="E2" s="58">
        <v>2017</v>
      </c>
      <c r="F2" s="58">
        <v>2018</v>
      </c>
      <c r="G2" s="58">
        <v>2019</v>
      </c>
      <c r="H2" s="58">
        <v>2020</v>
      </c>
      <c r="J2" s="90"/>
    </row>
    <row r="3" spans="1:18" ht="11.25" customHeight="1">
      <c r="A3" s="59" t="s">
        <v>225</v>
      </c>
      <c r="B3" s="91">
        <v>2421.3710000000001</v>
      </c>
      <c r="C3" s="91">
        <v>810</v>
      </c>
      <c r="D3" s="91">
        <v>825</v>
      </c>
      <c r="E3" s="91">
        <v>826</v>
      </c>
      <c r="F3" s="91">
        <v>826</v>
      </c>
      <c r="G3" s="91">
        <v>826</v>
      </c>
      <c r="H3" s="91">
        <v>826</v>
      </c>
      <c r="J3" s="90"/>
      <c r="L3" s="90"/>
      <c r="M3" s="90"/>
      <c r="N3" s="90"/>
      <c r="O3" s="90"/>
      <c r="P3" s="90"/>
      <c r="Q3" s="90"/>
      <c r="R3" s="90"/>
    </row>
    <row r="4" spans="1:18" ht="11.25" customHeight="1">
      <c r="A4" s="61" t="s">
        <v>249</v>
      </c>
      <c r="B4" s="92">
        <v>22.6</v>
      </c>
      <c r="C4" s="92"/>
      <c r="D4" s="92"/>
      <c r="E4" s="92"/>
      <c r="F4" s="92"/>
      <c r="G4" s="92"/>
      <c r="H4" s="92"/>
      <c r="L4" s="90"/>
      <c r="M4" s="90"/>
      <c r="N4" s="90"/>
      <c r="O4" s="90"/>
      <c r="P4" s="90"/>
      <c r="Q4" s="90"/>
      <c r="R4" s="90"/>
    </row>
    <row r="5" spans="1:18" ht="11.25" customHeight="1">
      <c r="A5" s="61" t="s">
        <v>250</v>
      </c>
      <c r="B5" s="92"/>
      <c r="C5" s="92">
        <v>361.52699999999999</v>
      </c>
      <c r="D5" s="92">
        <v>374.303</v>
      </c>
      <c r="E5" s="92">
        <v>428.97</v>
      </c>
      <c r="F5" s="92">
        <v>422.80799999999999</v>
      </c>
      <c r="G5" s="92">
        <v>422.80799999999999</v>
      </c>
      <c r="H5" s="92">
        <v>423.255</v>
      </c>
      <c r="L5" s="90"/>
      <c r="M5" s="90"/>
      <c r="N5" s="90"/>
      <c r="O5" s="90"/>
      <c r="P5" s="90"/>
      <c r="Q5" s="90"/>
      <c r="R5" s="90"/>
    </row>
    <row r="6" spans="1:18" ht="11.25" customHeight="1">
      <c r="A6" s="61" t="s">
        <v>227</v>
      </c>
      <c r="B6" s="92">
        <v>0</v>
      </c>
      <c r="C6" s="92">
        <v>23.899999999999899</v>
      </c>
      <c r="D6" s="92">
        <v>147.19999999999999</v>
      </c>
      <c r="E6" s="92">
        <v>112.3</v>
      </c>
      <c r="F6" s="92">
        <v>112.3</v>
      </c>
      <c r="G6" s="92">
        <v>112.3</v>
      </c>
      <c r="H6" s="92">
        <v>112.3</v>
      </c>
    </row>
    <row r="7" spans="1:18" ht="11.25" customHeight="1">
      <c r="A7" s="63" t="s">
        <v>228</v>
      </c>
      <c r="B7" s="93">
        <v>2443.971</v>
      </c>
      <c r="C7" s="93">
        <v>1195.4269999999999</v>
      </c>
      <c r="D7" s="93">
        <v>1346.5029999999999</v>
      </c>
      <c r="E7" s="93">
        <v>1367.27</v>
      </c>
      <c r="F7" s="93">
        <v>1361.1079999999999</v>
      </c>
      <c r="G7" s="93">
        <v>1361.1079999999999</v>
      </c>
      <c r="H7" s="93">
        <v>1361.5550000000001</v>
      </c>
    </row>
    <row r="8" spans="1:18" ht="11.25" customHeight="1">
      <c r="A8" s="59"/>
      <c r="B8" s="91"/>
      <c r="C8" s="91"/>
      <c r="D8" s="91"/>
      <c r="E8" s="91"/>
      <c r="F8" s="91"/>
      <c r="G8" s="91"/>
      <c r="H8" s="91"/>
    </row>
    <row r="9" spans="1:18" ht="16.5" customHeight="1">
      <c r="A9" s="126" t="s">
        <v>293</v>
      </c>
      <c r="B9" s="126"/>
      <c r="C9" s="126"/>
      <c r="D9" s="126"/>
      <c r="E9" s="126"/>
      <c r="F9" s="126"/>
      <c r="G9" s="126"/>
      <c r="H9" s="126"/>
    </row>
    <row r="10" spans="1:18" ht="11.25" customHeight="1">
      <c r="A10" s="59"/>
      <c r="B10" s="91"/>
      <c r="C10" s="91"/>
      <c r="D10" s="91"/>
      <c r="E10" s="91"/>
      <c r="F10" s="91"/>
      <c r="G10" s="91"/>
      <c r="H10" s="91"/>
    </row>
    <row r="11" spans="1:18" ht="11.25" customHeight="1">
      <c r="A11" s="80" t="s">
        <v>252</v>
      </c>
      <c r="B11" s="77"/>
      <c r="C11" s="77"/>
      <c r="D11" s="77"/>
      <c r="E11" s="77"/>
      <c r="F11" s="77"/>
      <c r="G11" s="77"/>
      <c r="H11" s="77"/>
    </row>
    <row r="12" spans="1:18" ht="11.25" customHeight="1">
      <c r="A12" s="80"/>
      <c r="B12" s="77"/>
      <c r="C12" s="77"/>
      <c r="D12" s="77"/>
      <c r="E12" s="77"/>
      <c r="F12" s="77"/>
      <c r="G12" s="77"/>
      <c r="H12" s="77"/>
    </row>
    <row r="13" spans="1:18" ht="11.25" customHeight="1">
      <c r="A13" s="80" t="s">
        <v>253</v>
      </c>
      <c r="B13" s="77"/>
      <c r="C13" s="77"/>
      <c r="D13" s="77"/>
      <c r="E13" s="77"/>
      <c r="F13" s="77"/>
      <c r="G13" s="77"/>
      <c r="H13" s="77"/>
    </row>
    <row r="14" spans="1:18" ht="11.25" customHeight="1">
      <c r="A14" s="80"/>
      <c r="B14" s="77"/>
      <c r="C14" s="77"/>
      <c r="D14" s="77"/>
      <c r="E14" s="77"/>
      <c r="F14" s="77"/>
      <c r="G14" s="77"/>
      <c r="H14" s="77"/>
    </row>
    <row r="15" spans="1:18" s="97" customFormat="1" ht="11.25" customHeight="1">
      <c r="A15" s="94" t="s">
        <v>287</v>
      </c>
      <c r="B15" s="95"/>
      <c r="C15" s="95"/>
      <c r="D15" s="95">
        <v>85</v>
      </c>
      <c r="E15" s="95">
        <v>85</v>
      </c>
      <c r="F15" s="95">
        <v>85</v>
      </c>
      <c r="G15" s="95">
        <v>85</v>
      </c>
      <c r="H15" s="95">
        <v>85</v>
      </c>
    </row>
    <row r="16" spans="1:18" ht="63" customHeight="1">
      <c r="A16" s="96" t="s">
        <v>288</v>
      </c>
      <c r="B16" s="77"/>
      <c r="C16" s="77"/>
      <c r="D16" s="77"/>
      <c r="E16" s="77"/>
      <c r="F16" s="77"/>
      <c r="G16" s="77"/>
      <c r="H16" s="77"/>
    </row>
    <row r="17" spans="1:8" ht="11.25" customHeight="1">
      <c r="A17" s="80"/>
      <c r="B17" s="77"/>
      <c r="C17" s="77"/>
      <c r="D17" s="77"/>
      <c r="E17" s="77"/>
      <c r="F17" s="77"/>
      <c r="G17" s="77"/>
      <c r="H17" s="77"/>
    </row>
    <row r="18" spans="1:8" s="97" customFormat="1" ht="11.25" customHeight="1">
      <c r="A18" s="94" t="s">
        <v>294</v>
      </c>
      <c r="B18" s="95"/>
      <c r="C18" s="95"/>
      <c r="D18" s="95">
        <v>-10</v>
      </c>
      <c r="E18" s="95">
        <v>-10</v>
      </c>
      <c r="F18" s="95">
        <v>-10</v>
      </c>
      <c r="G18" s="95">
        <v>-10</v>
      </c>
      <c r="H18" s="95">
        <v>-10</v>
      </c>
    </row>
    <row r="19" spans="1:8" ht="57" customHeight="1">
      <c r="A19" s="96" t="s">
        <v>295</v>
      </c>
      <c r="B19" s="77"/>
      <c r="C19" s="77"/>
      <c r="D19" s="77"/>
      <c r="E19" s="77"/>
      <c r="F19" s="77"/>
      <c r="G19" s="77"/>
      <c r="H19" s="77"/>
    </row>
    <row r="20" spans="1:8" ht="11.25" customHeight="1">
      <c r="A20" s="80"/>
      <c r="B20" s="77"/>
      <c r="C20" s="77"/>
      <c r="D20" s="77"/>
      <c r="E20" s="77"/>
      <c r="F20" s="77"/>
      <c r="G20" s="77"/>
      <c r="H20" s="77"/>
    </row>
    <row r="21" spans="1:8" s="97" customFormat="1" ht="11.25" customHeight="1">
      <c r="A21" s="94" t="s">
        <v>296</v>
      </c>
      <c r="B21" s="95"/>
      <c r="C21" s="95"/>
      <c r="D21" s="95">
        <v>-10</v>
      </c>
      <c r="E21" s="95">
        <v>-10</v>
      </c>
      <c r="F21" s="95">
        <v>-10</v>
      </c>
      <c r="G21" s="95">
        <v>-10</v>
      </c>
      <c r="H21" s="95">
        <v>-10</v>
      </c>
    </row>
    <row r="22" spans="1:8" s="97" customFormat="1" ht="52.5" customHeight="1">
      <c r="A22" s="96" t="s">
        <v>297</v>
      </c>
      <c r="B22" s="95"/>
      <c r="C22" s="95"/>
      <c r="D22" s="95"/>
      <c r="E22" s="95"/>
      <c r="F22" s="95"/>
      <c r="G22" s="95"/>
      <c r="H22" s="95"/>
    </row>
    <row r="23" spans="1:8" s="97" customFormat="1" ht="10.5" customHeight="1">
      <c r="A23" s="96"/>
      <c r="B23" s="95"/>
      <c r="C23" s="95"/>
      <c r="D23" s="95"/>
      <c r="E23" s="95"/>
      <c r="F23" s="95"/>
      <c r="G23" s="95"/>
      <c r="H23" s="95"/>
    </row>
    <row r="24" spans="1:8" s="97" customFormat="1" ht="10.5" customHeight="1">
      <c r="A24" s="94" t="s">
        <v>298</v>
      </c>
      <c r="B24" s="95"/>
      <c r="C24" s="95">
        <v>11</v>
      </c>
      <c r="D24" s="95">
        <v>33</v>
      </c>
      <c r="E24" s="95"/>
      <c r="F24" s="95"/>
      <c r="G24" s="95"/>
      <c r="H24" s="95"/>
    </row>
    <row r="25" spans="1:8" s="97" customFormat="1" ht="63" customHeight="1">
      <c r="A25" s="96" t="s">
        <v>299</v>
      </c>
      <c r="B25" s="95"/>
      <c r="C25" s="95"/>
      <c r="D25" s="95"/>
      <c r="E25" s="95"/>
      <c r="F25" s="95"/>
      <c r="G25" s="95"/>
      <c r="H25" s="95"/>
    </row>
    <row r="26" spans="1:8" s="97" customFormat="1" ht="10.5" customHeight="1">
      <c r="A26" s="94"/>
      <c r="B26" s="95"/>
      <c r="C26" s="95"/>
      <c r="D26" s="95"/>
      <c r="E26" s="95"/>
      <c r="F26" s="95"/>
      <c r="G26" s="95"/>
      <c r="H26" s="95"/>
    </row>
    <row r="27" spans="1:8" s="97" customFormat="1" ht="10.5" customHeight="1">
      <c r="A27" s="94" t="s">
        <v>260</v>
      </c>
      <c r="B27" s="95"/>
      <c r="C27" s="95"/>
      <c r="D27" s="95">
        <v>1.9</v>
      </c>
      <c r="E27" s="95"/>
      <c r="F27" s="95"/>
      <c r="G27" s="95"/>
      <c r="H27" s="95"/>
    </row>
    <row r="28" spans="1:8" s="97" customFormat="1" ht="31.5" customHeight="1">
      <c r="A28" s="96" t="s">
        <v>261</v>
      </c>
      <c r="B28" s="95"/>
      <c r="C28" s="95"/>
      <c r="D28" s="95"/>
      <c r="E28" s="95"/>
      <c r="F28" s="95"/>
      <c r="G28" s="95"/>
      <c r="H28" s="95"/>
    </row>
    <row r="29" spans="1:8" s="97" customFormat="1" ht="10.5" customHeight="1">
      <c r="A29" s="94"/>
      <c r="B29" s="95"/>
      <c r="C29" s="95"/>
      <c r="D29" s="95"/>
      <c r="E29" s="95"/>
      <c r="F29" s="95"/>
      <c r="G29" s="95"/>
      <c r="H29" s="95"/>
    </row>
    <row r="30" spans="1:8" s="97" customFormat="1" ht="10.5" customHeight="1">
      <c r="A30" s="94" t="s">
        <v>273</v>
      </c>
      <c r="B30" s="95"/>
      <c r="C30" s="95">
        <v>12.9</v>
      </c>
      <c r="D30" s="95">
        <v>47.3</v>
      </c>
      <c r="E30" s="95">
        <v>47.3</v>
      </c>
      <c r="F30" s="95">
        <v>47.3</v>
      </c>
      <c r="G30" s="95">
        <v>47.3</v>
      </c>
      <c r="H30" s="95">
        <v>47.3</v>
      </c>
    </row>
    <row r="31" spans="1:8" s="97" customFormat="1" ht="84" customHeight="1">
      <c r="A31" s="96" t="s">
        <v>274</v>
      </c>
      <c r="B31" s="95"/>
      <c r="C31" s="95"/>
      <c r="D31" s="95"/>
      <c r="E31" s="95"/>
      <c r="F31" s="95"/>
      <c r="G31" s="95"/>
      <c r="H31" s="95"/>
    </row>
    <row r="32" spans="1:8" s="97" customFormat="1" ht="10.5" customHeight="1">
      <c r="A32" s="96"/>
      <c r="B32" s="95"/>
      <c r="C32" s="95"/>
      <c r="D32" s="95"/>
      <c r="E32" s="95"/>
      <c r="F32" s="95"/>
      <c r="G32" s="95"/>
      <c r="H32" s="95"/>
    </row>
    <row r="33" spans="1:8" ht="9" customHeight="1">
      <c r="A33" s="108"/>
      <c r="B33" s="101"/>
      <c r="C33" s="101"/>
      <c r="D33" s="101"/>
      <c r="E33" s="101"/>
      <c r="F33" s="101"/>
      <c r="G33" s="101"/>
      <c r="H33"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sheetPr>
    <tabColor indexed="21"/>
  </sheetPr>
  <dimension ref="A1:R20"/>
  <sheetViews>
    <sheetView workbookViewId="0">
      <selection activeCell="B22" sqref="B22"/>
    </sheetView>
  </sheetViews>
  <sheetFormatPr defaultRowHeight="10.5"/>
  <cols>
    <col min="1" max="1" width="46.5703125" style="14" customWidth="1"/>
    <col min="2" max="3" width="9.7109375" style="14" customWidth="1"/>
    <col min="4" max="8" width="10.5703125" style="14" customWidth="1"/>
    <col min="9" max="9" width="6.85546875" style="14" customWidth="1"/>
    <col min="10" max="10" width="4.42578125" style="14" customWidth="1"/>
    <col min="11" max="11" width="9.140625" style="14"/>
    <col min="12" max="12" width="9.85546875" style="14" customWidth="1"/>
    <col min="13" max="16384" width="9.140625" style="14"/>
  </cols>
  <sheetData>
    <row r="1" spans="1:18" ht="16.5" customHeight="1">
      <c r="A1" s="119" t="s">
        <v>300</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2118.607</v>
      </c>
      <c r="C3" s="91">
        <v>1355</v>
      </c>
      <c r="D3" s="91">
        <v>772</v>
      </c>
      <c r="E3" s="91">
        <v>372</v>
      </c>
      <c r="F3" s="91">
        <v>0</v>
      </c>
      <c r="G3" s="91">
        <v>0</v>
      </c>
      <c r="H3" s="91">
        <v>0</v>
      </c>
      <c r="J3" s="90"/>
      <c r="L3" s="90"/>
      <c r="M3" s="90"/>
      <c r="N3" s="90"/>
      <c r="O3" s="90"/>
      <c r="P3" s="90"/>
      <c r="Q3" s="90"/>
      <c r="R3" s="90"/>
    </row>
    <row r="4" spans="1:18">
      <c r="A4" s="61" t="s">
        <v>249</v>
      </c>
      <c r="B4" s="92">
        <v>64.72</v>
      </c>
      <c r="C4" s="92"/>
      <c r="D4" s="92"/>
      <c r="E4" s="92"/>
      <c r="F4" s="92"/>
      <c r="G4" s="92"/>
      <c r="H4" s="92"/>
      <c r="L4" s="90"/>
      <c r="M4" s="90"/>
      <c r="N4" s="90"/>
      <c r="O4" s="90"/>
      <c r="P4" s="90"/>
      <c r="Q4" s="90"/>
      <c r="R4" s="90"/>
    </row>
    <row r="5" spans="1:18" ht="11.25">
      <c r="A5" s="61" t="s">
        <v>250</v>
      </c>
      <c r="B5" s="92"/>
      <c r="C5" s="92">
        <v>85.146000000000001</v>
      </c>
      <c r="D5" s="92">
        <v>58.828000000000003</v>
      </c>
      <c r="E5" s="92">
        <v>32.625999999999998</v>
      </c>
      <c r="F5" s="92">
        <v>0</v>
      </c>
      <c r="G5" s="92">
        <v>0</v>
      </c>
      <c r="H5" s="92">
        <v>0</v>
      </c>
      <c r="L5" s="90"/>
      <c r="M5" s="90"/>
      <c r="N5" s="90"/>
      <c r="O5" s="90"/>
      <c r="P5" s="90"/>
      <c r="Q5" s="90"/>
      <c r="R5" s="90"/>
    </row>
    <row r="6" spans="1:18">
      <c r="A6" s="61" t="s">
        <v>227</v>
      </c>
      <c r="B6" s="92">
        <v>0</v>
      </c>
      <c r="C6" s="92">
        <v>-6.75000000000004</v>
      </c>
      <c r="D6" s="92">
        <v>-28.999999999999901</v>
      </c>
      <c r="E6" s="92">
        <v>-12</v>
      </c>
      <c r="F6" s="92">
        <v>0</v>
      </c>
      <c r="G6" s="92">
        <v>0</v>
      </c>
      <c r="H6" s="92">
        <v>0</v>
      </c>
    </row>
    <row r="7" spans="1:18">
      <c r="A7" s="63" t="s">
        <v>228</v>
      </c>
      <c r="B7" s="93">
        <v>2183.3270000000002</v>
      </c>
      <c r="C7" s="93">
        <v>1433.396</v>
      </c>
      <c r="D7" s="93">
        <v>801.82799999999997</v>
      </c>
      <c r="E7" s="93">
        <v>392.62599999999998</v>
      </c>
      <c r="F7" s="93">
        <v>0</v>
      </c>
      <c r="G7" s="93">
        <v>0</v>
      </c>
      <c r="H7" s="93">
        <v>0</v>
      </c>
    </row>
    <row r="8" spans="1:18">
      <c r="A8" s="59"/>
      <c r="B8" s="91"/>
      <c r="C8" s="91"/>
      <c r="D8" s="91"/>
      <c r="E8" s="91"/>
      <c r="F8" s="91"/>
      <c r="G8" s="91"/>
      <c r="H8" s="91"/>
    </row>
    <row r="9" spans="1:18" ht="10.5" customHeight="1">
      <c r="A9" s="127" t="s">
        <v>301</v>
      </c>
      <c r="B9" s="127"/>
      <c r="C9" s="127"/>
      <c r="D9" s="127"/>
      <c r="E9" s="127"/>
      <c r="F9" s="127"/>
      <c r="G9" s="127"/>
      <c r="H9" s="127"/>
    </row>
    <row r="10" spans="1:18">
      <c r="A10" s="59"/>
      <c r="B10" s="91"/>
      <c r="C10" s="91"/>
      <c r="D10" s="91"/>
      <c r="E10" s="91"/>
      <c r="F10" s="91"/>
      <c r="G10" s="91"/>
      <c r="H10" s="91"/>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254</v>
      </c>
      <c r="B15" s="77"/>
      <c r="C15" s="77"/>
      <c r="D15" s="95">
        <v>-24</v>
      </c>
      <c r="E15" s="95">
        <f>-24+12</f>
        <v>-12</v>
      </c>
      <c r="F15" s="95">
        <f>-24+24</f>
        <v>0</v>
      </c>
      <c r="G15" s="95">
        <f>-24+24</f>
        <v>0</v>
      </c>
      <c r="H15" s="95">
        <f>-24+24</f>
        <v>0</v>
      </c>
    </row>
    <row r="16" spans="1:18" ht="42">
      <c r="A16" s="96" t="s">
        <v>255</v>
      </c>
      <c r="B16" s="77"/>
      <c r="C16" s="77"/>
      <c r="D16" s="77"/>
      <c r="E16" s="77"/>
      <c r="F16" s="77"/>
      <c r="G16" s="77"/>
      <c r="H16" s="77"/>
    </row>
    <row r="17" spans="1:8">
      <c r="A17" s="96"/>
      <c r="B17" s="77"/>
      <c r="C17" s="77"/>
      <c r="D17" s="77"/>
      <c r="E17" s="77"/>
      <c r="F17" s="77"/>
      <c r="G17" s="77"/>
      <c r="H17" s="77"/>
    </row>
    <row r="18" spans="1:8">
      <c r="A18" s="94" t="s">
        <v>256</v>
      </c>
      <c r="B18" s="77"/>
      <c r="C18" s="95">
        <v>-6.75</v>
      </c>
      <c r="D18" s="95">
        <v>-5</v>
      </c>
      <c r="E18" s="77"/>
      <c r="F18" s="77"/>
      <c r="G18" s="77"/>
      <c r="H18" s="77"/>
    </row>
    <row r="19" spans="1:8" ht="42">
      <c r="A19" s="96" t="s">
        <v>302</v>
      </c>
      <c r="B19" s="77"/>
      <c r="C19" s="77"/>
      <c r="D19" s="77"/>
      <c r="E19" s="77"/>
      <c r="F19" s="77"/>
      <c r="G19" s="77"/>
      <c r="H19" s="77"/>
    </row>
    <row r="20" spans="1:8">
      <c r="A20" s="100"/>
      <c r="B20" s="101"/>
      <c r="C20" s="101"/>
      <c r="D20" s="101"/>
      <c r="E20" s="101"/>
      <c r="F20" s="101"/>
      <c r="G20" s="101"/>
      <c r="H20"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sheetPr>
    <tabColor indexed="21"/>
  </sheetPr>
  <dimension ref="A1:R13"/>
  <sheetViews>
    <sheetView workbookViewId="0">
      <selection activeCell="D11" sqref="D11"/>
    </sheetView>
  </sheetViews>
  <sheetFormatPr defaultRowHeight="10.5"/>
  <cols>
    <col min="1" max="1" width="46.140625" style="14" customWidth="1"/>
    <col min="2" max="2" width="9.140625" style="14"/>
    <col min="3" max="3" width="7.7109375" style="14" customWidth="1"/>
    <col min="4" max="8" width="10.5703125" style="14" customWidth="1"/>
    <col min="9" max="9" width="9.28515625" style="14" customWidth="1"/>
    <col min="10" max="10" width="10.85546875" style="14" customWidth="1"/>
    <col min="11" max="11" width="9.140625" style="14"/>
    <col min="12" max="12" width="9.85546875" style="14" customWidth="1"/>
    <col min="13" max="16384" width="9.140625" style="14"/>
  </cols>
  <sheetData>
    <row r="1" spans="1:18" ht="16.5" customHeight="1">
      <c r="A1" s="119" t="s">
        <v>303</v>
      </c>
      <c r="B1" s="119"/>
      <c r="C1" s="119"/>
      <c r="D1" s="119"/>
      <c r="E1" s="119"/>
      <c r="F1" s="119"/>
      <c r="G1" s="119"/>
      <c r="H1" s="119"/>
    </row>
    <row r="2" spans="1:18">
      <c r="A2" s="109"/>
      <c r="B2" s="109">
        <v>2014</v>
      </c>
      <c r="C2" s="109">
        <v>2015</v>
      </c>
      <c r="D2" s="109">
        <v>2016</v>
      </c>
      <c r="E2" s="109">
        <v>2017</v>
      </c>
      <c r="F2" s="109">
        <v>2018</v>
      </c>
      <c r="G2" s="109">
        <v>2019</v>
      </c>
      <c r="H2" s="109">
        <v>2020</v>
      </c>
      <c r="J2" s="90"/>
    </row>
    <row r="3" spans="1:18">
      <c r="A3" s="59" t="s">
        <v>225</v>
      </c>
      <c r="B3" s="91">
        <v>222.35300000000001</v>
      </c>
      <c r="C3" s="91">
        <v>197.113</v>
      </c>
      <c r="D3" s="91">
        <v>195.435</v>
      </c>
      <c r="E3" s="91">
        <v>195.43299999999999</v>
      </c>
      <c r="F3" s="91">
        <v>195.43299999999999</v>
      </c>
      <c r="G3" s="91">
        <v>195.43299999999999</v>
      </c>
      <c r="H3" s="91">
        <v>195.43299999999999</v>
      </c>
      <c r="J3" s="90"/>
      <c r="L3" s="90"/>
      <c r="M3" s="90"/>
      <c r="N3" s="90"/>
      <c r="O3" s="90"/>
      <c r="P3" s="90"/>
      <c r="Q3" s="90"/>
      <c r="R3" s="90"/>
    </row>
    <row r="4" spans="1:18">
      <c r="A4" s="61" t="s">
        <v>249</v>
      </c>
      <c r="B4" s="92">
        <v>-6.6</v>
      </c>
      <c r="C4" s="92"/>
      <c r="D4" s="92"/>
      <c r="E4" s="92"/>
      <c r="F4" s="92"/>
      <c r="G4" s="92"/>
      <c r="H4" s="92"/>
      <c r="L4" s="90"/>
      <c r="M4" s="90"/>
      <c r="N4" s="90"/>
      <c r="O4" s="90"/>
      <c r="P4" s="90"/>
      <c r="Q4" s="90"/>
      <c r="R4" s="90"/>
    </row>
    <row r="5" spans="1:18" ht="11.25">
      <c r="A5" s="61" t="s">
        <v>250</v>
      </c>
      <c r="B5" s="92"/>
      <c r="C5" s="92">
        <v>-54.707000000000001</v>
      </c>
      <c r="D5" s="92">
        <v>-54.71</v>
      </c>
      <c r="E5" s="92">
        <v>-54.71</v>
      </c>
      <c r="F5" s="92">
        <v>-54.71</v>
      </c>
      <c r="G5" s="92">
        <v>-54.71</v>
      </c>
      <c r="H5" s="92">
        <v>-54.71</v>
      </c>
      <c r="L5" s="90"/>
      <c r="M5" s="90"/>
      <c r="N5" s="90"/>
      <c r="O5" s="90"/>
      <c r="P5" s="90"/>
      <c r="Q5" s="90"/>
      <c r="R5" s="90"/>
    </row>
    <row r="6" spans="1:18">
      <c r="A6" s="109" t="s">
        <v>227</v>
      </c>
      <c r="B6" s="110">
        <v>0</v>
      </c>
      <c r="C6" s="110">
        <v>0</v>
      </c>
      <c r="D6" s="110">
        <v>0</v>
      </c>
      <c r="E6" s="110">
        <v>0</v>
      </c>
      <c r="F6" s="110">
        <v>0</v>
      </c>
      <c r="G6" s="110">
        <v>0</v>
      </c>
      <c r="H6" s="110">
        <v>0</v>
      </c>
    </row>
    <row r="7" spans="1:18">
      <c r="A7" s="111" t="s">
        <v>228</v>
      </c>
      <c r="B7" s="112">
        <v>215.75299999999999</v>
      </c>
      <c r="C7" s="112">
        <v>142.40600000000001</v>
      </c>
      <c r="D7" s="112">
        <v>140.72499999999999</v>
      </c>
      <c r="E7" s="112">
        <v>140.72300000000001</v>
      </c>
      <c r="F7" s="112">
        <v>140.72300000000001</v>
      </c>
      <c r="G7" s="112">
        <v>140.72300000000001</v>
      </c>
      <c r="H7" s="112">
        <v>140.72300000000001</v>
      </c>
    </row>
    <row r="8" spans="1:18">
      <c r="A8" s="59"/>
      <c r="B8" s="91"/>
      <c r="C8" s="91"/>
      <c r="D8" s="91"/>
      <c r="E8" s="91"/>
      <c r="F8" s="91"/>
      <c r="G8" s="91"/>
      <c r="H8" s="91"/>
    </row>
    <row r="9" spans="1:18" ht="24.75" customHeight="1">
      <c r="A9" s="124" t="s">
        <v>304</v>
      </c>
      <c r="B9" s="124"/>
      <c r="C9" s="124"/>
      <c r="D9" s="124"/>
      <c r="E9" s="124"/>
      <c r="F9" s="124"/>
      <c r="G9" s="124"/>
      <c r="H9" s="124"/>
    </row>
    <row r="10" spans="1:18">
      <c r="A10" s="59"/>
      <c r="B10" s="91"/>
      <c r="C10" s="91"/>
      <c r="D10" s="91"/>
      <c r="E10" s="91"/>
      <c r="F10" s="91"/>
      <c r="G10" s="91"/>
      <c r="H10" s="91"/>
    </row>
    <row r="11" spans="1:18">
      <c r="A11" s="80" t="s">
        <v>252</v>
      </c>
      <c r="B11" s="77"/>
      <c r="C11" s="77"/>
      <c r="D11" s="77"/>
      <c r="E11" s="77"/>
      <c r="F11" s="77"/>
      <c r="G11" s="77"/>
      <c r="H11" s="77"/>
    </row>
    <row r="12" spans="1:18">
      <c r="A12" s="94" t="s">
        <v>291</v>
      </c>
      <c r="B12" s="77"/>
      <c r="C12" s="77"/>
      <c r="D12" s="77"/>
      <c r="E12" s="77"/>
      <c r="F12" s="77"/>
      <c r="G12" s="77"/>
      <c r="H12" s="77"/>
    </row>
    <row r="13" spans="1:18">
      <c r="A13" s="100"/>
      <c r="B13" s="101"/>
      <c r="C13" s="101"/>
      <c r="D13" s="101"/>
      <c r="E13" s="101"/>
      <c r="F13" s="101"/>
      <c r="G13" s="101"/>
      <c r="H13"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sheetPr>
    <tabColor indexed="21"/>
  </sheetPr>
  <dimension ref="A1:R30"/>
  <sheetViews>
    <sheetView workbookViewId="0">
      <selection activeCell="A34" sqref="A34"/>
    </sheetView>
  </sheetViews>
  <sheetFormatPr defaultRowHeight="10.5"/>
  <cols>
    <col min="1" max="1" width="40.28515625" style="14" customWidth="1"/>
    <col min="2" max="2" width="8.42578125" style="14" customWidth="1"/>
    <col min="3" max="3" width="9.7109375" style="14" customWidth="1"/>
    <col min="4" max="8" width="10.5703125" style="14" customWidth="1"/>
    <col min="9" max="9" width="15.5703125" style="14" customWidth="1"/>
    <col min="10" max="10" width="13" style="14" customWidth="1"/>
    <col min="11" max="11" width="9.140625" style="14"/>
    <col min="12" max="12" width="9.85546875" style="14" customWidth="1"/>
    <col min="13" max="16384" width="9.140625" style="14"/>
  </cols>
  <sheetData>
    <row r="1" spans="1:18" ht="20.25" customHeight="1">
      <c r="A1" s="119" t="s">
        <v>305</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1561.0340000000001</v>
      </c>
      <c r="C3" s="91">
        <v>480.26499999999999</v>
      </c>
      <c r="D3" s="91">
        <v>477.27600000000001</v>
      </c>
      <c r="E3" s="91">
        <v>478.286</v>
      </c>
      <c r="F3" s="91">
        <v>478.30599999999998</v>
      </c>
      <c r="G3" s="91">
        <v>478.30599999999998</v>
      </c>
      <c r="H3" s="91">
        <v>478.30599999999998</v>
      </c>
      <c r="J3" s="90"/>
      <c r="L3" s="90"/>
      <c r="M3" s="90"/>
      <c r="N3" s="90"/>
      <c r="O3" s="90"/>
      <c r="P3" s="90"/>
      <c r="Q3" s="90"/>
      <c r="R3" s="90"/>
    </row>
    <row r="4" spans="1:18">
      <c r="A4" s="61" t="s">
        <v>249</v>
      </c>
      <c r="B4" s="92">
        <v>-43.628999999999998</v>
      </c>
      <c r="C4" s="92"/>
      <c r="D4" s="92"/>
      <c r="E4" s="92"/>
      <c r="F4" s="92"/>
      <c r="G4" s="92"/>
      <c r="H4" s="92"/>
      <c r="L4" s="90"/>
      <c r="M4" s="90"/>
      <c r="N4" s="90"/>
      <c r="O4" s="90"/>
      <c r="P4" s="90"/>
      <c r="Q4" s="90"/>
      <c r="R4" s="90"/>
    </row>
    <row r="5" spans="1:18" ht="11.25">
      <c r="A5" s="61" t="s">
        <v>250</v>
      </c>
      <c r="B5" s="92"/>
      <c r="C5" s="92">
        <v>83.153000000000006</v>
      </c>
      <c r="D5" s="92">
        <v>-12.881</v>
      </c>
      <c r="E5" s="92">
        <v>-12.817</v>
      </c>
      <c r="F5" s="92">
        <v>-12.492000000000001</v>
      </c>
      <c r="G5" s="92">
        <v>-12.492000000000001</v>
      </c>
      <c r="H5" s="92">
        <v>-12.492000000000001</v>
      </c>
      <c r="L5" s="90"/>
      <c r="M5" s="90"/>
      <c r="N5" s="90"/>
      <c r="O5" s="90"/>
      <c r="P5" s="90"/>
      <c r="Q5" s="90"/>
      <c r="R5" s="90"/>
    </row>
    <row r="6" spans="1:18">
      <c r="A6" s="61" t="s">
        <v>227</v>
      </c>
      <c r="B6" s="92">
        <v>-1.3500311979441901E-13</v>
      </c>
      <c r="C6" s="92">
        <v>58.259999999999899</v>
      </c>
      <c r="D6" s="92">
        <v>171.78200000000001</v>
      </c>
      <c r="E6" s="92">
        <v>11.26</v>
      </c>
      <c r="F6" s="92">
        <v>11.26</v>
      </c>
      <c r="G6" s="92">
        <v>11.26</v>
      </c>
      <c r="H6" s="92">
        <v>11.26</v>
      </c>
    </row>
    <row r="7" spans="1:18">
      <c r="A7" s="63" t="s">
        <v>228</v>
      </c>
      <c r="B7" s="93">
        <v>1517.405</v>
      </c>
      <c r="C7" s="93">
        <v>621.678</v>
      </c>
      <c r="D7" s="93">
        <v>636.17700000000002</v>
      </c>
      <c r="E7" s="93">
        <v>476.72899999999998</v>
      </c>
      <c r="F7" s="93">
        <v>477.07400000000001</v>
      </c>
      <c r="G7" s="93">
        <v>477.07400000000001</v>
      </c>
      <c r="H7" s="93">
        <v>477.07400000000001</v>
      </c>
    </row>
    <row r="8" spans="1:18">
      <c r="A8" s="59"/>
      <c r="B8" s="91"/>
      <c r="C8" s="91"/>
      <c r="D8" s="91"/>
      <c r="E8" s="91"/>
      <c r="F8" s="91"/>
      <c r="G8" s="91"/>
      <c r="H8" s="91"/>
    </row>
    <row r="9" spans="1:18" ht="36.75" customHeight="1">
      <c r="A9" s="124" t="s">
        <v>306</v>
      </c>
      <c r="B9" s="124"/>
      <c r="C9" s="124"/>
      <c r="D9" s="124"/>
      <c r="E9" s="124"/>
      <c r="F9" s="124"/>
      <c r="G9" s="124"/>
      <c r="H9" s="124"/>
    </row>
    <row r="10" spans="1:18">
      <c r="A10" s="59"/>
      <c r="B10" s="91"/>
      <c r="C10" s="91"/>
      <c r="D10" s="91"/>
      <c r="E10" s="91"/>
      <c r="F10" s="91"/>
      <c r="G10" s="91"/>
      <c r="H10" s="91"/>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307</v>
      </c>
      <c r="B15" s="77"/>
      <c r="C15" s="95">
        <v>3.46</v>
      </c>
      <c r="D15" s="95">
        <v>3.46</v>
      </c>
      <c r="E15" s="95">
        <v>3.46</v>
      </c>
      <c r="F15" s="95">
        <v>3.46</v>
      </c>
      <c r="G15" s="95">
        <v>3.46</v>
      </c>
      <c r="H15" s="95">
        <v>3.46</v>
      </c>
    </row>
    <row r="16" spans="1:18" ht="31.5">
      <c r="A16" s="96" t="s">
        <v>308</v>
      </c>
      <c r="B16" s="77"/>
      <c r="C16" s="95"/>
      <c r="D16" s="95"/>
      <c r="E16" s="95"/>
      <c r="F16" s="95"/>
      <c r="G16" s="95"/>
      <c r="H16" s="95"/>
    </row>
    <row r="17" spans="1:8">
      <c r="A17" s="96"/>
      <c r="B17" s="77"/>
      <c r="C17" s="95"/>
      <c r="D17" s="95"/>
      <c r="E17" s="95"/>
      <c r="F17" s="95"/>
      <c r="G17" s="95"/>
      <c r="H17" s="95"/>
    </row>
    <row r="18" spans="1:8">
      <c r="A18" s="102" t="s">
        <v>270</v>
      </c>
      <c r="B18" s="77"/>
      <c r="C18" s="95">
        <v>7.8</v>
      </c>
      <c r="D18" s="95">
        <v>7.8</v>
      </c>
      <c r="E18" s="95">
        <v>7.8</v>
      </c>
      <c r="F18" s="95">
        <v>7.8</v>
      </c>
      <c r="G18" s="95">
        <v>7.8</v>
      </c>
      <c r="H18" s="95">
        <v>7.8</v>
      </c>
    </row>
    <row r="19" spans="1:8" ht="52.5">
      <c r="A19" s="96" t="s">
        <v>271</v>
      </c>
      <c r="B19" s="77"/>
      <c r="C19" s="95"/>
      <c r="D19" s="95"/>
      <c r="E19" s="95"/>
      <c r="F19" s="95"/>
      <c r="G19" s="95"/>
      <c r="H19" s="95"/>
    </row>
    <row r="20" spans="1:8">
      <c r="A20" s="96"/>
      <c r="B20" s="77"/>
      <c r="C20" s="95"/>
      <c r="D20" s="95"/>
      <c r="E20" s="95"/>
      <c r="F20" s="95"/>
      <c r="G20" s="95"/>
      <c r="H20" s="95"/>
    </row>
    <row r="21" spans="1:8">
      <c r="A21" s="94" t="s">
        <v>309</v>
      </c>
      <c r="B21" s="77"/>
      <c r="C21" s="95">
        <v>67</v>
      </c>
      <c r="D21" s="95"/>
      <c r="E21" s="95"/>
      <c r="F21" s="95"/>
      <c r="G21" s="95"/>
      <c r="H21" s="95"/>
    </row>
    <row r="22" spans="1:8" ht="31.5">
      <c r="A22" s="96" t="s">
        <v>310</v>
      </c>
      <c r="B22" s="77"/>
      <c r="C22" s="95"/>
      <c r="D22" s="95"/>
      <c r="E22" s="95"/>
      <c r="F22" s="95"/>
      <c r="G22" s="95"/>
      <c r="H22" s="95"/>
    </row>
    <row r="23" spans="1:8">
      <c r="A23" s="96"/>
      <c r="B23" s="77"/>
      <c r="C23" s="95"/>
      <c r="D23" s="95"/>
      <c r="E23" s="95"/>
      <c r="F23" s="95"/>
      <c r="G23" s="95"/>
      <c r="H23" s="95"/>
    </row>
    <row r="24" spans="1:8">
      <c r="A24" s="102" t="s">
        <v>311</v>
      </c>
      <c r="B24" s="77"/>
      <c r="C24" s="95">
        <v>-20</v>
      </c>
      <c r="D24" s="95">
        <v>-20</v>
      </c>
      <c r="E24" s="95"/>
      <c r="F24" s="95"/>
      <c r="G24" s="95"/>
      <c r="H24" s="95"/>
    </row>
    <row r="25" spans="1:8" ht="42">
      <c r="A25" s="96" t="s">
        <v>312</v>
      </c>
      <c r="B25" s="77"/>
      <c r="C25" s="95"/>
      <c r="D25" s="95"/>
      <c r="E25" s="95"/>
      <c r="F25" s="95"/>
      <c r="G25" s="95"/>
      <c r="H25" s="95"/>
    </row>
    <row r="26" spans="1:8">
      <c r="A26" s="96"/>
      <c r="B26" s="77"/>
      <c r="C26" s="95"/>
      <c r="D26" s="95"/>
      <c r="E26" s="95"/>
      <c r="F26" s="95"/>
      <c r="G26" s="95"/>
      <c r="H26" s="95"/>
    </row>
    <row r="27" spans="1:8" s="97" customFormat="1" ht="21">
      <c r="A27" s="102" t="s">
        <v>313</v>
      </c>
      <c r="B27" s="95"/>
      <c r="C27" s="95"/>
      <c r="D27" s="95">
        <v>180.52199999999999</v>
      </c>
      <c r="E27" s="95"/>
      <c r="F27" s="95"/>
      <c r="G27" s="95"/>
      <c r="H27" s="95"/>
    </row>
    <row r="28" spans="1:8" ht="31.5">
      <c r="A28" s="96" t="s">
        <v>314</v>
      </c>
      <c r="B28" s="77"/>
      <c r="C28" s="95"/>
      <c r="D28" s="95"/>
      <c r="E28" s="95"/>
      <c r="F28" s="95"/>
      <c r="G28" s="95"/>
      <c r="H28" s="95"/>
    </row>
    <row r="29" spans="1:8">
      <c r="A29" s="80"/>
      <c r="B29" s="77"/>
      <c r="C29" s="77"/>
      <c r="D29" s="77"/>
      <c r="E29" s="77"/>
      <c r="F29" s="77"/>
      <c r="G29" s="77"/>
      <c r="H29" s="77"/>
    </row>
    <row r="30" spans="1:8" ht="16.5" customHeight="1">
      <c r="A30" s="128"/>
      <c r="B30" s="128"/>
      <c r="C30" s="128"/>
      <c r="D30" s="128"/>
      <c r="E30" s="128"/>
      <c r="F30" s="128"/>
      <c r="G30" s="128"/>
      <c r="H30" s="128"/>
    </row>
  </sheetData>
  <sheetProtection selectLockedCells="1" selectUnlockedCells="1"/>
  <mergeCells count="3">
    <mergeCell ref="A1:H1"/>
    <mergeCell ref="A9:H9"/>
    <mergeCell ref="A30:H30"/>
  </mergeCells>
  <pageMargins left="0.7" right="0.7" top="0.75" bottom="0.75"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sheetPr>
    <tabColor indexed="21"/>
  </sheetPr>
  <dimension ref="A1:H41"/>
  <sheetViews>
    <sheetView topLeftCell="A31" workbookViewId="0">
      <selection activeCell="A42" sqref="A42"/>
    </sheetView>
  </sheetViews>
  <sheetFormatPr defaultRowHeight="10.5"/>
  <cols>
    <col min="1" max="1" width="39" style="14" customWidth="1"/>
    <col min="2" max="2" width="8" style="14" customWidth="1"/>
    <col min="3" max="3" width="10.85546875" style="14" customWidth="1"/>
    <col min="4" max="4" width="10.140625" style="14" customWidth="1"/>
    <col min="5" max="8" width="11" style="14" customWidth="1"/>
    <col min="9" max="16384" width="9.140625" style="14"/>
  </cols>
  <sheetData>
    <row r="1" spans="1:8" ht="16.5" customHeight="1">
      <c r="A1" s="119" t="s">
        <v>315</v>
      </c>
      <c r="B1" s="119"/>
      <c r="C1" s="119"/>
      <c r="D1" s="119"/>
      <c r="E1" s="119"/>
      <c r="F1" s="119"/>
      <c r="G1" s="119"/>
      <c r="H1" s="119"/>
    </row>
    <row r="2" spans="1:8">
      <c r="A2" s="58"/>
      <c r="B2" s="58">
        <v>2014</v>
      </c>
      <c r="C2" s="58">
        <v>2015</v>
      </c>
      <c r="D2" s="58">
        <v>2016</v>
      </c>
      <c r="E2" s="58">
        <v>2017</v>
      </c>
      <c r="F2" s="58">
        <v>2018</v>
      </c>
      <c r="G2" s="58">
        <v>2019</v>
      </c>
      <c r="H2" s="58">
        <v>2020</v>
      </c>
    </row>
    <row r="3" spans="1:8">
      <c r="A3" s="59" t="s">
        <v>225</v>
      </c>
      <c r="B3" s="91">
        <v>25.446999999999999</v>
      </c>
      <c r="C3" s="91">
        <v>212.55799999999999</v>
      </c>
      <c r="D3" s="91">
        <v>165.34299999999999</v>
      </c>
      <c r="E3" s="91">
        <v>906.50800000000004</v>
      </c>
      <c r="F3" s="91">
        <v>1488.1690000000001</v>
      </c>
      <c r="G3" s="91">
        <v>2426.337</v>
      </c>
      <c r="H3" s="91">
        <v>2426.337</v>
      </c>
    </row>
    <row r="4" spans="1:8">
      <c r="A4" s="61" t="s">
        <v>249</v>
      </c>
      <c r="B4" s="92">
        <v>-96.775000000000006</v>
      </c>
      <c r="C4" s="92"/>
      <c r="D4" s="92"/>
      <c r="E4" s="92"/>
      <c r="F4" s="92"/>
      <c r="G4" s="92"/>
      <c r="H4" s="92"/>
    </row>
    <row r="5" spans="1:8" ht="11.25">
      <c r="A5" s="61" t="s">
        <v>250</v>
      </c>
      <c r="B5" s="92"/>
      <c r="C5" s="92">
        <v>-198.392</v>
      </c>
      <c r="D5" s="92">
        <v>-399.19900000000001</v>
      </c>
      <c r="E5" s="92">
        <v>-736.22900000000004</v>
      </c>
      <c r="F5" s="92">
        <v>-721.68299999999999</v>
      </c>
      <c r="G5" s="92">
        <v>-737.06799999999998</v>
      </c>
      <c r="H5" s="92">
        <v>-741.22799999999995</v>
      </c>
    </row>
    <row r="6" spans="1:8">
      <c r="A6" s="61" t="s">
        <v>227</v>
      </c>
      <c r="B6" s="92">
        <v>0</v>
      </c>
      <c r="C6" s="92">
        <v>-3.4600000000000102</v>
      </c>
      <c r="D6" s="92">
        <v>752.59400000000005</v>
      </c>
      <c r="E6" s="92">
        <v>773.39400000000001</v>
      </c>
      <c r="F6" s="92">
        <v>769.29399999999998</v>
      </c>
      <c r="G6" s="92">
        <v>776.89400000000001</v>
      </c>
      <c r="H6" s="92">
        <v>1876.3050000000001</v>
      </c>
    </row>
    <row r="7" spans="1:8">
      <c r="A7" s="63" t="s">
        <v>228</v>
      </c>
      <c r="B7" s="93">
        <v>-71.328000000000003</v>
      </c>
      <c r="C7" s="93">
        <v>10.706</v>
      </c>
      <c r="D7" s="93">
        <v>518.73800000000006</v>
      </c>
      <c r="E7" s="93">
        <v>943.673</v>
      </c>
      <c r="F7" s="93">
        <v>1535.78</v>
      </c>
      <c r="G7" s="93">
        <v>2466.163</v>
      </c>
      <c r="H7" s="93">
        <v>3561.4140000000002</v>
      </c>
    </row>
    <row r="8" spans="1:8">
      <c r="A8" s="59"/>
      <c r="B8" s="91"/>
      <c r="C8" s="91"/>
      <c r="D8" s="91"/>
      <c r="E8" s="91"/>
      <c r="F8" s="91"/>
      <c r="G8" s="91"/>
      <c r="H8" s="91"/>
    </row>
    <row r="9" spans="1:8" ht="43.5" customHeight="1">
      <c r="A9" s="124" t="s">
        <v>316</v>
      </c>
      <c r="B9" s="124"/>
      <c r="C9" s="124"/>
      <c r="D9" s="124"/>
      <c r="E9" s="124"/>
      <c r="F9" s="124"/>
      <c r="G9" s="124"/>
      <c r="H9" s="124"/>
    </row>
    <row r="10" spans="1:8">
      <c r="A10" s="59"/>
      <c r="B10" s="91"/>
      <c r="C10" s="91"/>
      <c r="D10" s="91"/>
      <c r="E10" s="91"/>
      <c r="F10" s="91"/>
      <c r="G10" s="91"/>
      <c r="H10" s="91"/>
    </row>
    <row r="11" spans="1:8">
      <c r="A11" s="80" t="s">
        <v>252</v>
      </c>
      <c r="B11" s="77"/>
      <c r="C11" s="77"/>
      <c r="D11" s="77"/>
      <c r="E11" s="77"/>
      <c r="F11" s="77"/>
      <c r="G11" s="77"/>
      <c r="H11" s="77"/>
    </row>
    <row r="12" spans="1:8">
      <c r="A12" s="80"/>
      <c r="B12" s="77"/>
      <c r="C12" s="77"/>
      <c r="D12" s="77"/>
      <c r="E12" s="77"/>
      <c r="F12" s="77"/>
      <c r="G12" s="77"/>
      <c r="H12" s="77"/>
    </row>
    <row r="13" spans="1:8">
      <c r="A13" s="80" t="s">
        <v>317</v>
      </c>
      <c r="B13" s="77"/>
      <c r="C13" s="77"/>
      <c r="D13" s="77"/>
      <c r="E13" s="77"/>
      <c r="F13" s="77"/>
      <c r="G13" s="77"/>
      <c r="H13" s="77"/>
    </row>
    <row r="14" spans="1:8">
      <c r="A14" s="80"/>
      <c r="B14" s="77"/>
      <c r="C14" s="77"/>
      <c r="D14" s="77"/>
      <c r="E14" s="77"/>
      <c r="F14" s="77"/>
      <c r="G14" s="77"/>
      <c r="H14" s="77"/>
    </row>
    <row r="15" spans="1:8">
      <c r="A15" s="94" t="s">
        <v>318</v>
      </c>
      <c r="B15" s="77"/>
      <c r="C15" s="77"/>
      <c r="D15" s="95">
        <f>79.3-101.8+56.6</f>
        <v>34.1</v>
      </c>
      <c r="E15" s="95">
        <f>61.4-99.1+72.6</f>
        <v>34.9</v>
      </c>
      <c r="F15" s="95">
        <f>56.7-99.9+74</f>
        <v>30.799999999999997</v>
      </c>
      <c r="G15" s="95">
        <f>76.3-103.3+60.4</f>
        <v>33.4</v>
      </c>
      <c r="H15" s="95">
        <f>81.8-107.4+78.4</f>
        <v>52.8</v>
      </c>
    </row>
    <row r="16" spans="1:8" ht="42">
      <c r="A16" s="96" t="s">
        <v>319</v>
      </c>
      <c r="B16" s="77"/>
      <c r="C16" s="77"/>
      <c r="D16" s="95"/>
      <c r="E16" s="95"/>
      <c r="F16" s="95"/>
      <c r="G16" s="95"/>
      <c r="H16" s="95"/>
    </row>
    <row r="17" spans="1:8">
      <c r="A17" s="94"/>
      <c r="B17" s="77"/>
      <c r="C17" s="77"/>
      <c r="D17" s="95"/>
      <c r="E17" s="95"/>
      <c r="F17" s="95"/>
      <c r="G17" s="95"/>
      <c r="H17" s="95"/>
    </row>
    <row r="18" spans="1:8">
      <c r="A18" s="80"/>
      <c r="B18" s="77"/>
      <c r="C18" s="77"/>
      <c r="D18" s="77"/>
      <c r="E18" s="77"/>
      <c r="F18" s="77"/>
      <c r="G18" s="77"/>
      <c r="H18" s="77"/>
    </row>
    <row r="19" spans="1:8">
      <c r="A19" s="80" t="s">
        <v>253</v>
      </c>
      <c r="B19" s="77"/>
      <c r="C19" s="77"/>
      <c r="D19" s="77"/>
      <c r="E19" s="77"/>
      <c r="F19" s="77"/>
      <c r="G19" s="77"/>
      <c r="H19" s="77"/>
    </row>
    <row r="20" spans="1:8">
      <c r="A20" s="80"/>
      <c r="B20" s="77"/>
      <c r="C20" s="77"/>
      <c r="D20" s="77"/>
      <c r="E20" s="77"/>
      <c r="F20" s="77"/>
      <c r="G20" s="77"/>
      <c r="H20" s="77"/>
    </row>
    <row r="21" spans="1:8" s="97" customFormat="1">
      <c r="A21" s="94" t="s">
        <v>307</v>
      </c>
      <c r="B21" s="95"/>
      <c r="C21" s="95">
        <v>-3.46</v>
      </c>
      <c r="D21" s="95">
        <v>-3.46</v>
      </c>
      <c r="E21" s="95">
        <v>-3.46</v>
      </c>
      <c r="F21" s="95">
        <v>-3.46</v>
      </c>
      <c r="G21" s="95">
        <v>-3.46</v>
      </c>
      <c r="H21" s="95">
        <v>-3.46</v>
      </c>
    </row>
    <row r="22" spans="1:8" s="97" customFormat="1" ht="31.5">
      <c r="A22" s="96" t="s">
        <v>308</v>
      </c>
      <c r="B22" s="95"/>
      <c r="C22" s="95"/>
      <c r="D22" s="95"/>
      <c r="E22" s="95"/>
      <c r="F22" s="95"/>
      <c r="G22" s="95"/>
      <c r="H22" s="95"/>
    </row>
    <row r="23" spans="1:8">
      <c r="A23" s="80"/>
      <c r="B23" s="77"/>
      <c r="C23" s="77"/>
      <c r="D23" s="77"/>
      <c r="E23" s="77"/>
      <c r="F23" s="77"/>
      <c r="G23" s="77"/>
      <c r="H23" s="77"/>
    </row>
    <row r="24" spans="1:8">
      <c r="A24" s="94" t="s">
        <v>254</v>
      </c>
      <c r="B24" s="77"/>
      <c r="C24" s="77"/>
      <c r="D24" s="95">
        <v>504.45400000000001</v>
      </c>
      <c r="E24" s="95">
        <v>504.45400000000001</v>
      </c>
      <c r="F24" s="95">
        <v>504.45400000000001</v>
      </c>
      <c r="G24" s="95">
        <v>504.45400000000001</v>
      </c>
      <c r="H24" s="95">
        <v>504.45400000000001</v>
      </c>
    </row>
    <row r="25" spans="1:8" ht="42">
      <c r="A25" s="96" t="s">
        <v>320</v>
      </c>
      <c r="B25" s="77"/>
      <c r="C25" s="77"/>
      <c r="D25" s="77"/>
      <c r="E25" s="77"/>
      <c r="F25" s="77"/>
      <c r="G25" s="77"/>
      <c r="H25" s="77"/>
    </row>
    <row r="26" spans="1:8">
      <c r="A26" s="80"/>
      <c r="B26" s="77"/>
      <c r="C26" s="77"/>
      <c r="D26" s="77"/>
      <c r="E26" s="77"/>
      <c r="F26" s="77"/>
      <c r="G26" s="77"/>
      <c r="H26" s="77"/>
    </row>
    <row r="27" spans="1:8">
      <c r="A27" s="102" t="s">
        <v>268</v>
      </c>
      <c r="B27" s="95"/>
      <c r="C27" s="95"/>
      <c r="D27" s="95">
        <v>65</v>
      </c>
      <c r="E27" s="95">
        <v>65</v>
      </c>
      <c r="F27" s="95">
        <v>65</v>
      </c>
      <c r="G27" s="95">
        <v>65</v>
      </c>
      <c r="H27" s="95">
        <v>65</v>
      </c>
    </row>
    <row r="28" spans="1:8" ht="52.5">
      <c r="A28" s="96" t="s">
        <v>321</v>
      </c>
      <c r="B28" s="77"/>
      <c r="C28" s="77"/>
      <c r="D28" s="77"/>
      <c r="E28" s="77"/>
      <c r="F28" s="77"/>
      <c r="G28" s="77"/>
      <c r="H28" s="77"/>
    </row>
    <row r="29" spans="1:8">
      <c r="A29" s="96"/>
      <c r="B29" s="77"/>
      <c r="C29" s="77"/>
      <c r="D29" s="77"/>
      <c r="E29" s="77"/>
      <c r="F29" s="77"/>
      <c r="G29" s="77"/>
      <c r="H29" s="77"/>
    </row>
    <row r="30" spans="1:8">
      <c r="A30" s="94" t="s">
        <v>294</v>
      </c>
      <c r="B30" s="95"/>
      <c r="C30" s="95"/>
      <c r="D30" s="95">
        <v>10</v>
      </c>
      <c r="E30" s="95">
        <v>10</v>
      </c>
      <c r="F30" s="95">
        <v>10</v>
      </c>
      <c r="G30" s="95">
        <v>10</v>
      </c>
      <c r="H30" s="95">
        <v>10</v>
      </c>
    </row>
    <row r="31" spans="1:8" ht="73.5">
      <c r="A31" s="96" t="s">
        <v>295</v>
      </c>
      <c r="B31" s="77"/>
      <c r="C31" s="77"/>
      <c r="D31" s="77"/>
      <c r="E31" s="77"/>
      <c r="F31" s="77"/>
      <c r="G31" s="77"/>
      <c r="H31" s="77"/>
    </row>
    <row r="32" spans="1:8">
      <c r="A32" s="80"/>
      <c r="B32" s="77"/>
      <c r="C32" s="77"/>
      <c r="D32" s="77"/>
      <c r="E32" s="77"/>
      <c r="F32" s="77"/>
      <c r="G32" s="77"/>
      <c r="H32" s="77"/>
    </row>
    <row r="33" spans="1:8">
      <c r="A33" s="94" t="s">
        <v>296</v>
      </c>
      <c r="B33" s="95"/>
      <c r="C33" s="95"/>
      <c r="D33" s="95">
        <v>10</v>
      </c>
      <c r="E33" s="95">
        <v>10</v>
      </c>
      <c r="F33" s="95">
        <v>10</v>
      </c>
      <c r="G33" s="95">
        <v>10</v>
      </c>
      <c r="H33" s="95">
        <v>10</v>
      </c>
    </row>
    <row r="34" spans="1:8" ht="52.5">
      <c r="A34" s="96" t="s">
        <v>297</v>
      </c>
      <c r="B34" s="95"/>
      <c r="C34" s="95"/>
      <c r="D34" s="95"/>
      <c r="E34" s="95"/>
      <c r="F34" s="95"/>
      <c r="G34" s="95"/>
      <c r="H34" s="95"/>
    </row>
    <row r="35" spans="1:8">
      <c r="A35" s="96"/>
      <c r="B35" s="95"/>
      <c r="C35" s="95"/>
      <c r="D35" s="95"/>
      <c r="E35" s="95"/>
      <c r="F35" s="95"/>
      <c r="G35" s="95"/>
      <c r="H35" s="95"/>
    </row>
    <row r="36" spans="1:8" s="97" customFormat="1">
      <c r="A36" s="102" t="s">
        <v>322</v>
      </c>
      <c r="B36" s="95"/>
      <c r="C36" s="95"/>
      <c r="D36" s="95">
        <v>132.5</v>
      </c>
      <c r="E36" s="95">
        <v>152.5</v>
      </c>
      <c r="F36" s="95">
        <v>152.5</v>
      </c>
      <c r="G36" s="95">
        <v>157.5</v>
      </c>
      <c r="H36" s="95">
        <v>202.5</v>
      </c>
    </row>
    <row r="37" spans="1:8" ht="63">
      <c r="A37" s="96" t="s">
        <v>323</v>
      </c>
      <c r="B37" s="95"/>
      <c r="C37" s="95"/>
      <c r="D37" s="95"/>
      <c r="E37" s="95"/>
      <c r="F37" s="95"/>
      <c r="G37" s="95"/>
      <c r="H37" s="95"/>
    </row>
    <row r="38" spans="1:8">
      <c r="A38" s="80"/>
      <c r="B38" s="77"/>
      <c r="C38" s="77"/>
      <c r="D38" s="77"/>
      <c r="E38" s="77"/>
      <c r="F38" s="77"/>
      <c r="G38" s="77"/>
      <c r="H38" s="77"/>
    </row>
    <row r="39" spans="1:8">
      <c r="A39" s="102" t="s">
        <v>324</v>
      </c>
      <c r="B39" s="113"/>
      <c r="C39" s="113"/>
      <c r="D39" s="113"/>
      <c r="E39" s="113"/>
      <c r="F39" s="113"/>
      <c r="G39" s="113"/>
      <c r="H39" s="113">
        <v>1035.011</v>
      </c>
    </row>
    <row r="40" spans="1:8" ht="31.5">
      <c r="A40" s="96" t="s">
        <v>325</v>
      </c>
      <c r="B40" s="113"/>
      <c r="C40" s="113"/>
      <c r="D40" s="113"/>
      <c r="E40" s="113"/>
      <c r="F40" s="113"/>
      <c r="G40" s="113"/>
      <c r="H40" s="113"/>
    </row>
    <row r="41" spans="1:8">
      <c r="A41" s="114"/>
      <c r="B41" s="115"/>
      <c r="C41" s="115"/>
      <c r="D41" s="115"/>
      <c r="E41" s="115"/>
      <c r="F41" s="115"/>
      <c r="G41" s="115"/>
      <c r="H41" s="115"/>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sheetPr>
    <tabColor indexed="21"/>
  </sheetPr>
  <dimension ref="A1:R15"/>
  <sheetViews>
    <sheetView tabSelected="1" workbookViewId="0">
      <selection activeCell="A19" sqref="A19"/>
    </sheetView>
  </sheetViews>
  <sheetFormatPr defaultRowHeight="10.5"/>
  <cols>
    <col min="1" max="1" width="42.85546875" style="14" customWidth="1"/>
    <col min="2" max="2" width="9.5703125" style="14" customWidth="1"/>
    <col min="3" max="8" width="8.42578125" style="14" customWidth="1"/>
    <col min="9" max="9" width="6.85546875" style="14" customWidth="1"/>
    <col min="10" max="10" width="15.42578125" style="14" customWidth="1"/>
    <col min="11" max="11" width="9.5703125" style="14" customWidth="1"/>
    <col min="12" max="12" width="9.85546875" style="14" customWidth="1"/>
    <col min="13" max="16384" width="9.140625" style="14"/>
  </cols>
  <sheetData>
    <row r="1" spans="1:18" ht="18" customHeight="1">
      <c r="A1" s="119" t="s">
        <v>326</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1985.0129999999999</v>
      </c>
      <c r="C3" s="91">
        <v>1737.279</v>
      </c>
      <c r="D3" s="91">
        <v>1675.979</v>
      </c>
      <c r="E3" s="91">
        <v>1651.8789999999999</v>
      </c>
      <c r="F3" s="91">
        <v>1655.1590000000001</v>
      </c>
      <c r="G3" s="91">
        <v>1715.029</v>
      </c>
      <c r="H3" s="91">
        <v>1715.029</v>
      </c>
      <c r="J3" s="90"/>
      <c r="L3" s="90"/>
      <c r="M3" s="90"/>
      <c r="N3" s="90"/>
      <c r="O3" s="90"/>
      <c r="P3" s="90"/>
      <c r="Q3" s="90"/>
      <c r="R3" s="90"/>
    </row>
    <row r="4" spans="1:18">
      <c r="A4" s="61" t="s">
        <v>249</v>
      </c>
      <c r="B4" s="92">
        <v>9.5719999999999992</v>
      </c>
      <c r="C4" s="92"/>
      <c r="D4" s="92"/>
      <c r="E4" s="92"/>
      <c r="F4" s="92"/>
      <c r="G4" s="92"/>
      <c r="H4" s="92"/>
      <c r="L4" s="90"/>
      <c r="M4" s="90"/>
      <c r="N4" s="90"/>
      <c r="O4" s="90"/>
      <c r="P4" s="90"/>
      <c r="Q4" s="90"/>
      <c r="R4" s="90"/>
    </row>
    <row r="5" spans="1:18" ht="11.25">
      <c r="A5" s="61" t="s">
        <v>250</v>
      </c>
      <c r="B5" s="92"/>
      <c r="C5" s="92">
        <v>154</v>
      </c>
      <c r="D5" s="92">
        <v>172</v>
      </c>
      <c r="E5" s="92">
        <v>183</v>
      </c>
      <c r="F5" s="92">
        <v>185</v>
      </c>
      <c r="G5" s="92">
        <v>175</v>
      </c>
      <c r="H5" s="92">
        <v>170</v>
      </c>
      <c r="L5" s="90"/>
      <c r="M5" s="90"/>
      <c r="N5" s="90"/>
      <c r="O5" s="90"/>
      <c r="P5" s="90"/>
      <c r="Q5" s="90"/>
      <c r="R5" s="90"/>
    </row>
    <row r="6" spans="1:18">
      <c r="A6" s="61" t="s">
        <v>227</v>
      </c>
      <c r="B6" s="92">
        <v>1.1723955140041701E-13</v>
      </c>
      <c r="C6" s="92">
        <v>0</v>
      </c>
      <c r="D6" s="92">
        <v>0</v>
      </c>
      <c r="E6" s="92">
        <v>0</v>
      </c>
      <c r="F6" s="92">
        <v>0</v>
      </c>
      <c r="G6" s="92">
        <v>0</v>
      </c>
      <c r="H6" s="92">
        <v>18.406999999999901</v>
      </c>
      <c r="L6" s="90"/>
      <c r="M6" s="90"/>
      <c r="N6" s="90"/>
      <c r="O6" s="90"/>
      <c r="P6" s="90"/>
      <c r="Q6" s="90"/>
      <c r="R6" s="90"/>
    </row>
    <row r="7" spans="1:18">
      <c r="A7" s="63" t="s">
        <v>228</v>
      </c>
      <c r="B7" s="93">
        <v>1994.585</v>
      </c>
      <c r="C7" s="93">
        <v>1891.279</v>
      </c>
      <c r="D7" s="93">
        <v>1847.979</v>
      </c>
      <c r="E7" s="93">
        <v>1834.8789999999999</v>
      </c>
      <c r="F7" s="93">
        <v>1840.1590000000001</v>
      </c>
      <c r="G7" s="93">
        <v>1890.029</v>
      </c>
      <c r="H7" s="93">
        <v>1903.4359999999999</v>
      </c>
    </row>
    <row r="8" spans="1:18">
      <c r="A8" s="59"/>
      <c r="B8" s="91"/>
      <c r="C8" s="91"/>
      <c r="D8" s="91"/>
      <c r="E8" s="91"/>
      <c r="F8" s="91"/>
      <c r="G8" s="91"/>
      <c r="H8" s="91"/>
    </row>
    <row r="9" spans="1:18" ht="15" customHeight="1">
      <c r="A9" s="129" t="s">
        <v>327</v>
      </c>
      <c r="B9" s="129"/>
      <c r="C9" s="129"/>
      <c r="D9" s="129"/>
      <c r="E9" s="129"/>
      <c r="F9" s="129"/>
      <c r="G9" s="129"/>
      <c r="H9" s="129"/>
    </row>
    <row r="10" spans="1:18">
      <c r="A10" s="59"/>
      <c r="B10" s="91"/>
      <c r="C10" s="91"/>
      <c r="D10" s="91"/>
      <c r="E10" s="91"/>
      <c r="F10" s="91"/>
      <c r="G10" s="91"/>
      <c r="H10" s="91"/>
    </row>
    <row r="11" spans="1:18">
      <c r="A11" s="80" t="s">
        <v>252</v>
      </c>
      <c r="B11" s="77"/>
      <c r="C11" s="77"/>
      <c r="D11" s="77"/>
      <c r="E11" s="77"/>
      <c r="F11" s="77"/>
      <c r="G11" s="77"/>
      <c r="H11" s="77"/>
    </row>
    <row r="12" spans="1:18">
      <c r="A12" s="80"/>
      <c r="B12" s="77"/>
      <c r="C12" s="77"/>
      <c r="D12" s="77"/>
      <c r="E12" s="77"/>
      <c r="F12" s="77"/>
      <c r="G12" s="77"/>
      <c r="H12" s="77"/>
    </row>
    <row r="13" spans="1:18" s="97" customFormat="1">
      <c r="A13" s="94" t="s">
        <v>324</v>
      </c>
      <c r="B13" s="95"/>
      <c r="C13" s="95"/>
      <c r="D13" s="95"/>
      <c r="E13" s="95"/>
      <c r="F13" s="95"/>
      <c r="G13" s="95"/>
      <c r="H13" s="95">
        <v>18.399999999999999</v>
      </c>
    </row>
    <row r="14" spans="1:18" s="97" customFormat="1" ht="31.5">
      <c r="A14" s="96" t="s">
        <v>328</v>
      </c>
      <c r="B14" s="95"/>
      <c r="C14" s="95"/>
      <c r="D14" s="95"/>
      <c r="E14" s="95"/>
      <c r="F14" s="95"/>
      <c r="G14" s="95"/>
      <c r="H14" s="95"/>
    </row>
    <row r="15" spans="1:18">
      <c r="A15" s="100"/>
      <c r="B15" s="101"/>
      <c r="C15" s="101"/>
      <c r="D15" s="101"/>
      <c r="E15" s="101"/>
      <c r="F15" s="101"/>
      <c r="G15" s="101"/>
      <c r="H15"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tabColor indexed="13"/>
  </sheetPr>
  <dimension ref="A1:Q59"/>
  <sheetViews>
    <sheetView workbookViewId="0">
      <selection activeCell="K34" sqref="K34"/>
    </sheetView>
  </sheetViews>
  <sheetFormatPr defaultRowHeight="10.5"/>
  <cols>
    <col min="1" max="1" width="37.7109375" style="14" customWidth="1"/>
    <col min="2" max="8" width="9.140625" style="14"/>
    <col min="9" max="9" width="24.85546875" style="14" customWidth="1"/>
    <col min="10" max="10" width="10" style="14" customWidth="1"/>
    <col min="11" max="11" width="9.7109375" style="14" customWidth="1"/>
    <col min="12" max="12" width="12.42578125" style="14" customWidth="1"/>
    <col min="13" max="18" width="10.140625" style="14" customWidth="1"/>
    <col min="19" max="16384" width="9.140625" style="14"/>
  </cols>
  <sheetData>
    <row r="1" spans="1:17" s="16" customFormat="1" ht="24.75" customHeight="1">
      <c r="A1" s="15" t="s">
        <v>178</v>
      </c>
      <c r="B1" s="15"/>
      <c r="C1" s="15"/>
      <c r="D1" s="15"/>
      <c r="E1" s="15"/>
      <c r="F1" s="15"/>
      <c r="G1" s="15"/>
      <c r="H1" s="15"/>
      <c r="K1" s="17"/>
    </row>
    <row r="2" spans="1:17" ht="15" customHeight="1">
      <c r="A2" s="18"/>
      <c r="B2" s="19">
        <v>2013</v>
      </c>
      <c r="C2" s="19">
        <v>2014</v>
      </c>
      <c r="D2" s="19">
        <v>2015</v>
      </c>
      <c r="E2" s="19">
        <v>2016</v>
      </c>
      <c r="F2" s="19">
        <v>2017</v>
      </c>
      <c r="G2" s="19">
        <v>2018</v>
      </c>
      <c r="H2" s="19">
        <v>2019</v>
      </c>
    </row>
    <row r="3" spans="1:17" ht="15" customHeight="1">
      <c r="A3" s="20" t="s">
        <v>179</v>
      </c>
      <c r="B3" s="20"/>
      <c r="C3" s="20"/>
      <c r="D3" s="20"/>
      <c r="E3" s="20"/>
      <c r="F3" s="20"/>
      <c r="G3" s="20"/>
      <c r="H3" s="20"/>
    </row>
    <row r="4" spans="1:17" ht="15" customHeight="1">
      <c r="A4" s="21" t="s">
        <v>180</v>
      </c>
      <c r="B4" s="22" t="e">
        <f>(IF(ISNA(VLOOKUP("1.10.00","$#REF!.$P$1:$AA$1048576",6,0)),0,VLOOKUP("1.10.00","$#REF!.$P$1:$AA$1048576",6,0))+IF(ISNA(VLOOKUP("1.10.01","$#REF!.$P$1:$AA$1048576",6,0)),0,VLOOKUP("1.10.01","$#REF!.$P$1:$AA$1048576",6,0)))/1000</f>
        <v>#VALUE!</v>
      </c>
      <c r="C4" s="22" t="e">
        <f>(IF(ISNA(VLOOKUP("1.10.00","$#REF!.$P$1:$AA$1048576",7,0)),0,VLOOKUP("1.10.00","$#REF!.$P$1:$AA$1048576",7,0))+IF(ISNA(VLOOKUP("1.10.01","$#REF!.$P$1:$AA$1048576",7,0)),0,VLOOKUP("1.10.01","$#REF!.$P$1:$AA$1048576",7,0)))/1000</f>
        <v>#VALUE!</v>
      </c>
      <c r="D4" s="22" t="e">
        <f>(IF(ISNA(VLOOKUP("1.10.00","$#REF!.$P$1:$AA$1048576",8,0)),0,VLOOKUP("1.10.00","$#REF!.$P$1:$AA$1048576",8,0))+IF(ISNA(VLOOKUP("1.10.01","$#REF!.$P$1:$AA$1048576",8,0)),0,VLOOKUP("1.10.01","$#REF!.$P$1:$AA$1048576",8,0)))/1000</f>
        <v>#VALUE!</v>
      </c>
      <c r="E4" s="22" t="e">
        <f>(IF(ISNA(VLOOKUP("1.10.00","$#REF!.$P$1:$AA$1048576",9,0)),0,VLOOKUP("1.10.00","$#REF!.$P$1:$AA$1048576",9,0))+IF(ISNA(VLOOKUP("1.10.01","$#REF!.$P$1:$AA$1048576",9,0)),0,VLOOKUP("1.10.01","$#REF!.$P$1:$AA$1048576",9,0)))/1000</f>
        <v>#VALUE!</v>
      </c>
      <c r="F4" s="22" t="e">
        <f>(IF(ISNA(VLOOKUP("1.10.00","$#REF!.$P$1:$AA$1048576",10,0)),0,VLOOKUP("1.10.00","$#REF!.$P$1:$AA$1048576",10,0))+IF(ISNA(VLOOKUP("1.10.01","$#REF!.$P$1:$AA$1048576",10,0)),0,VLOOKUP("1.10.01","$#REF!.$P$1:$AA$1048576",10,0)))/1000</f>
        <v>#VALUE!</v>
      </c>
      <c r="G4" s="22" t="e">
        <f>(IF(ISNA(VLOOKUP("1.10.00","$#REF!.$P$1:$AA$1048576",11,0)),0,VLOOKUP("1.10.00","$#REF!.$P$1:$AA$1048576",11,0))+IF(ISNA(VLOOKUP("1.10.01","$#REF!.$P$1:$AA$1048576",11,0)),0,VLOOKUP("1.10.01","$#REF!.$P$1:$AA$1048576",11,0)))/1000</f>
        <v>#VALUE!</v>
      </c>
      <c r="H4" s="22" t="e">
        <f>(IF(ISNA(VLOOKUP("1.10.00","$#REF!.$P$1:$AA$1048576",12,0)),0,VLOOKUP("1.10.00","$#REF!.$P$1:$AA$1048576",12,0))+IF(ISNA(VLOOKUP("1.10.01","$#REF!.$P$1:$AA$1048576",12,0)),0,VLOOKUP("1.10.01","$#REF!.$P$1:$AA$1048576",12,0)))/1000</f>
        <v>#VALUE!</v>
      </c>
    </row>
    <row r="5" spans="1:17" ht="15" customHeight="1">
      <c r="A5" s="23" t="s">
        <v>181</v>
      </c>
      <c r="B5" s="24" t="e">
        <f t="shared" ref="B5:H5" si="0">+B4</f>
        <v>#VALUE!</v>
      </c>
      <c r="C5" s="24" t="e">
        <f t="shared" si="0"/>
        <v>#VALUE!</v>
      </c>
      <c r="D5" s="24" t="e">
        <f t="shared" si="0"/>
        <v>#VALUE!</v>
      </c>
      <c r="E5" s="24" t="e">
        <f t="shared" si="0"/>
        <v>#VALUE!</v>
      </c>
      <c r="F5" s="24" t="e">
        <f t="shared" si="0"/>
        <v>#VALUE!</v>
      </c>
      <c r="G5" s="24" t="e">
        <f t="shared" si="0"/>
        <v>#VALUE!</v>
      </c>
      <c r="H5" s="24" t="e">
        <f t="shared" si="0"/>
        <v>#VALUE!</v>
      </c>
      <c r="K5" s="25"/>
      <c r="L5" s="26"/>
      <c r="M5" s="26"/>
      <c r="N5" s="26"/>
      <c r="O5" s="26"/>
      <c r="P5" s="26"/>
      <c r="Q5" s="26"/>
    </row>
    <row r="6" spans="1:17" ht="15" customHeight="1">
      <c r="A6" s="21"/>
      <c r="B6" s="22"/>
      <c r="C6" s="22"/>
      <c r="D6" s="22"/>
      <c r="E6" s="22"/>
      <c r="F6" s="22"/>
      <c r="G6" s="22"/>
      <c r="H6" s="22"/>
      <c r="K6" s="25"/>
      <c r="L6" s="26"/>
      <c r="M6" s="26"/>
      <c r="N6" s="26"/>
      <c r="O6" s="26"/>
      <c r="P6" s="26"/>
      <c r="Q6" s="26"/>
    </row>
    <row r="7" spans="1:17" ht="15" customHeight="1">
      <c r="A7" s="20" t="s">
        <v>182</v>
      </c>
      <c r="B7" s="27"/>
      <c r="C7" s="27"/>
      <c r="D7" s="27"/>
      <c r="E7" s="27"/>
      <c r="F7" s="27"/>
      <c r="G7" s="27"/>
      <c r="H7" s="27"/>
      <c r="K7" s="25"/>
      <c r="L7" s="26"/>
      <c r="M7" s="26"/>
      <c r="N7" s="26"/>
      <c r="O7" s="26"/>
      <c r="P7" s="26"/>
      <c r="Q7" s="26"/>
    </row>
    <row r="8" spans="1:17" ht="15" customHeight="1">
      <c r="A8" s="21" t="s">
        <v>183</v>
      </c>
      <c r="B8" s="22" t="e">
        <f>(IF(ISNA(VLOOKUP("1.30.50","$#REF!.$P$1:$AA$1048576",6,0)),0,VLOOKUP("1.30.50","$#REF!.$P$1:$AA$1048576",6,0))+IF(ISNA(VLOOKUP("1.32.01","$#REF!.$P$1:$AA$1048576",6,0)),0,VLOOKUP("1.32.01","$#REF!.$P$1:$AA$1048576",6,0)))/1000</f>
        <v>#VALUE!</v>
      </c>
      <c r="C8" s="22" t="e">
        <f>(IF(ISNA(VLOOKUP("1.30.50","$#REF!.$P$1:$AA$1048576",7,0)),0,VLOOKUP("1.30.50","$#REF!.$P$1:$AA$1048576",7,0))+IF(ISNA(VLOOKUP("1.32.01","$#REF!.$P$1:$AA$1048576",7,0)),0,VLOOKUP("1.32.01","$#REF!.$P$1:$AA$1048576",7,0)))/1000</f>
        <v>#VALUE!</v>
      </c>
      <c r="D8" s="22" t="e">
        <f>(IF(ISNA(VLOOKUP("1.30.50","$#REF!.$P$1:$AA$1048576",8,0)),0,VLOOKUP("1.30.50","$#REF!.$P$1:$AA$1048576",8,0))+IF(ISNA(VLOOKUP("1.32.01","$#REF!.$P$1:$AA$1048576",8,0)),0,VLOOKUP("1.32.01","$#REF!.$P$1:$AA$1048576",8,0)))/1000</f>
        <v>#VALUE!</v>
      </c>
      <c r="E8" s="22" t="e">
        <f>(IF(ISNA(VLOOKUP("1.30.50","$#REF!.$P$1:$AA$1048576",9,0)),0,VLOOKUP("1.30.50","$#REF!.$P$1:$AA$1048576",9,0))+IF(ISNA(VLOOKUP("1.32.01","$#REF!.$P$1:$AA$1048576",9,0)),0,VLOOKUP("1.32.01","$#REF!.$P$1:$AA$1048576",9,0)))/1000</f>
        <v>#VALUE!</v>
      </c>
      <c r="F8" s="22" t="e">
        <f>(IF(ISNA(VLOOKUP("1.30.50","$#REF!.$P$1:$AA$1048576",10,0)),0,VLOOKUP("1.30.50","$#REF!.$P$1:$AA$1048576",10,0))+IF(ISNA(VLOOKUP("1.32.01","$#REF!.$P$1:$AA$1048576",10,0)),0,VLOOKUP("1.32.01","$#REF!.$P$1:$AA$1048576",10,0)))/1000</f>
        <v>#VALUE!</v>
      </c>
      <c r="G8" s="22" t="e">
        <f>(IF(ISNA(VLOOKUP("1.30.50","$#REF!.$P$1:$AA$1048576",11,0)),0,VLOOKUP("1.30.50","$#REF!.$P$1:$AA$1048576",11,0))+IF(ISNA(VLOOKUP("1.32.01","$#REF!.$P$1:$AA$1048576",11,0)),0,VLOOKUP("1.32.01","$#REF!.$P$1:$AA$1048576",11,0)))/1000</f>
        <v>#VALUE!</v>
      </c>
      <c r="H8" s="22" t="e">
        <f>(IF(ISNA(VLOOKUP("1.30.50","$#REF!.$P$1:$AA$1048576",12,0)),0,VLOOKUP("1.30.50","$#REF!.$P$1:$AA$1048576",12,0))+IF(ISNA(VLOOKUP("1.32.01","$#REF!.$P$1:$AA$1048576",12,0)),0,VLOOKUP("1.32.01","$#REF!.$P$1:$AA$1048576",12,0)))/1000</f>
        <v>#VALUE!</v>
      </c>
      <c r="K8" s="25"/>
      <c r="L8" s="26"/>
      <c r="M8" s="26"/>
      <c r="N8" s="26"/>
      <c r="O8" s="26"/>
      <c r="P8" s="26"/>
      <c r="Q8" s="26"/>
    </row>
    <row r="9" spans="1:17" ht="15" customHeight="1">
      <c r="A9" s="21" t="s">
        <v>184</v>
      </c>
      <c r="B9" s="22" t="e">
        <f>(IF(ISNA(VLOOKUP("1.30.51","$#REF!.$P$1:$AA$1048576",6,0)),0,VLOOKUP("1.30.51","$#REF!.$P$1:$AA$1048576",6,0))+IF(ISNA(VLOOKUP("1.32.02","$#REF!.$P$1:$AA$1048576",6,0)),0,VLOOKUP("1.32.02","$#REF!.$P$1:$AA$1048576",6,0)))/1000</f>
        <v>#VALUE!</v>
      </c>
      <c r="C9" s="22" t="e">
        <f>(IF(ISNA(VLOOKUP("1.30.51","$#REF!.$P$1:$AA$1048576",7,0)),0,VLOOKUP("1.30.51","$#REF!.$P$1:$AA$1048576",7,0))+IF(ISNA(VLOOKUP("1.32.02","$#REF!.$P$1:$AA$1048576",7,0)),0,VLOOKUP("1.32.02","$#REF!.$P$1:$AA$1048576",7,0)))/1000</f>
        <v>#VALUE!</v>
      </c>
      <c r="D9" s="22" t="e">
        <f>(IF(ISNA(VLOOKUP("1.30.51","$#REF!.$P$1:$AA$1048576",8,0)),0,VLOOKUP("1.30.51","$#REF!.$P$1:$AA$1048576",8,0))+IF(ISNA(VLOOKUP("1.32.02","$#REF!.$P$1:$AA$1048576",8,0)),0,VLOOKUP("1.32.02","$#REF!.$P$1:$AA$1048576",8,0)))/1000</f>
        <v>#VALUE!</v>
      </c>
      <c r="E9" s="22" t="e">
        <f>(IF(ISNA(VLOOKUP("1.30.51","$#REF!.$P$1:$AA$1048576",9,0)),0,VLOOKUP("1.30.51","$#REF!.$P$1:$AA$1048576",9,0))+IF(ISNA(VLOOKUP("1.32.02","$#REF!.$P$1:$AA$1048576",9,0)),0,VLOOKUP("1.32.02","$#REF!.$P$1:$AA$1048576",9,0)))/1000</f>
        <v>#VALUE!</v>
      </c>
      <c r="F9" s="22" t="e">
        <f>(IF(ISNA(VLOOKUP("1.30.51","$#REF!.$P$1:$AA$1048576",10,0)),0,VLOOKUP("1.30.51","$#REF!.$P$1:$AA$1048576",10,0))+IF(ISNA(VLOOKUP("1.32.02","$#REF!.$P$1:$AA$1048576",10,0)),0,VLOOKUP("1.32.02","$#REF!.$P$1:$AA$1048576",10,0)))/1000</f>
        <v>#VALUE!</v>
      </c>
      <c r="G9" s="22" t="e">
        <f>(IF(ISNA(VLOOKUP("1.30.51","$#REF!.$P$1:$AA$1048576",11,0)),0,VLOOKUP("1.30.51","$#REF!.$P$1:$AA$1048576",11,0))+IF(ISNA(VLOOKUP("1.32.02","$#REF!.$P$1:$AA$1048576",11,0)),0,VLOOKUP("1.32.02","$#REF!.$P$1:$AA$1048576",11,0)))/1000</f>
        <v>#VALUE!</v>
      </c>
      <c r="H9" s="22" t="e">
        <f>(IF(ISNA(VLOOKUP("1.30.51","$#REF!.$P$1:$AA$1048576",12,0)),0,VLOOKUP("1.30.51","$#REF!.$P$1:$AA$1048576",12,0))+IF(ISNA(VLOOKUP("1.32.02","$#REF!.$P$1:$AA$1048576",12,0)),0,VLOOKUP("1.32.02","$#REF!.$P$1:$AA$1048576",12,0)))/1000</f>
        <v>#VALUE!</v>
      </c>
      <c r="K9" s="25"/>
      <c r="L9" s="26"/>
      <c r="M9" s="25"/>
      <c r="N9" s="25"/>
      <c r="O9" s="25"/>
      <c r="P9" s="25"/>
      <c r="Q9" s="25"/>
    </row>
    <row r="10" spans="1:17" ht="15" customHeight="1">
      <c r="A10" s="21" t="s">
        <v>185</v>
      </c>
      <c r="B10" s="22" t="e">
        <f>(IF(ISNA(VLOOKUP("1.30.52","$#REF!.$P$1:$AA$1048576",6,0)),0,VLOOKUP("1.30.52","$#REF!.$P$1:$AA$1048576",6,0))+IF(ISNA(VLOOKUP("1.32.03","$#REF!.$P$1:$AA$1048576",6,0)),0,VLOOKUP("1.32.03","$#REF!.$P$1:$AA$1048576",6,0)))/1000</f>
        <v>#VALUE!</v>
      </c>
      <c r="C10" s="22" t="e">
        <f>(IF(ISNA(VLOOKUP("1.30.52","$#REF!.$P$1:$AA$1048576",7,0)),0,VLOOKUP("1.30.52","$#REF!.$P$1:$AA$1048576",7,0))+IF(ISNA(VLOOKUP("1.32.03","$#REF!.$P$1:$AA$1048576",7,0)),0,VLOOKUP("1.32.03","$#REF!.$P$1:$AA$1048576",7,0)))/1000</f>
        <v>#VALUE!</v>
      </c>
      <c r="D10" s="22" t="e">
        <f>(IF(ISNA(VLOOKUP("1.30.52","$#REF!.$P$1:$AA$1048576",8,0)),0,VLOOKUP("1.30.52","$#REF!.$P$1:$AA$1048576",8,0))+IF(ISNA(VLOOKUP("1.32.03","$#REF!.$P$1:$AA$1048576",8,0)),0,VLOOKUP("1.32.03","$#REF!.$P$1:$AA$1048576",8,0)))/1000</f>
        <v>#VALUE!</v>
      </c>
      <c r="E10" s="22" t="e">
        <f>(IF(ISNA(VLOOKUP("1.30.52","$#REF!.$P$1:$AA$1048576",9,0)),0,VLOOKUP("1.30.52","$#REF!.$P$1:$AA$1048576",9,0))+IF(ISNA(VLOOKUP("1.32.03","$#REF!.$P$1:$AA$1048576",9,0)),0,VLOOKUP("1.32.03","$#REF!.$P$1:$AA$1048576",9,0)))/1000</f>
        <v>#VALUE!</v>
      </c>
      <c r="F10" s="22" t="e">
        <f>(IF(ISNA(VLOOKUP("1.30.52","$#REF!.$P$1:$AA$1048576",10,0)),0,VLOOKUP("1.30.52","$#REF!.$P$1:$AA$1048576",10,0))+IF(ISNA(VLOOKUP("1.32.03","$#REF!.$P$1:$AA$1048576",10,0)),0,VLOOKUP("1.32.03","$#REF!.$P$1:$AA$1048576",10,0)))/1000</f>
        <v>#VALUE!</v>
      </c>
      <c r="G10" s="22" t="e">
        <f>(IF(ISNA(VLOOKUP("1.30.52","$#REF!.$P$1:$AA$1048576",11,0)),0,VLOOKUP("1.30.52","$#REF!.$P$1:$AA$1048576",11,0))+IF(ISNA(VLOOKUP("1.32.03","$#REF!.$P$1:$AA$1048576",11,0)),0,VLOOKUP("1.32.03","$#REF!.$P$1:$AA$1048576",11,0)))/1000</f>
        <v>#VALUE!</v>
      </c>
      <c r="H10" s="22" t="e">
        <f>(IF(ISNA(VLOOKUP("1.30.52","$#REF!.$P$1:$AA$1048576",12,0)),0,VLOOKUP("1.30.52","$#REF!.$P$1:$AA$1048576",12,0))+IF(ISNA(VLOOKUP("1.32.03","$#REF!.$P$1:$AA$1048576",12,0)),0,VLOOKUP("1.32.03","$#REF!.$P$1:$AA$1048576",12,0)))/1000</f>
        <v>#VALUE!</v>
      </c>
      <c r="K10" s="28"/>
      <c r="L10" s="28"/>
      <c r="M10" s="28"/>
      <c r="N10" s="28"/>
      <c r="O10" s="28"/>
      <c r="P10" s="28"/>
      <c r="Q10" s="28"/>
    </row>
    <row r="11" spans="1:17" ht="15" customHeight="1">
      <c r="A11" s="21" t="s">
        <v>186</v>
      </c>
      <c r="B11" s="22" t="e">
        <f>(IF(ISNA(VLOOKUP("1.31.00","$#REF!.$P$1:$AA$1048576",6,0)),0,VLOOKUP("1.31.00","$#REF!.$P$1:$AA$1048576",6,0)))/1000</f>
        <v>#VALUE!</v>
      </c>
      <c r="C11" s="22" t="e">
        <f>(IF(ISNA(VLOOKUP("1.31.00","$#REF!.$P$1:$AA$1048576",7,0)),0,VLOOKUP("1.31.00","$#REF!.$P$1:$AA$1048576",7,0)))/1000</f>
        <v>#VALUE!</v>
      </c>
      <c r="D11" s="22" t="e">
        <f>(IF(ISNA(VLOOKUP("1.31.00","$#REF!.$P$1:$AA$1048576",8,0)),0,VLOOKUP("1.31.00","$#REF!.$P$1:$AA$1048576",8,0)))/1000</f>
        <v>#VALUE!</v>
      </c>
      <c r="E11" s="22" t="e">
        <f>(IF(ISNA(VLOOKUP("1.31.00","$#REF!.$P$1:$AA$1048576",9,0)),0,VLOOKUP("1.31.00","$#REF!.$P$1:$AA$1048576",9,0)))/1000</f>
        <v>#VALUE!</v>
      </c>
      <c r="F11" s="22" t="e">
        <f>(IF(ISNA(VLOOKUP("1.31.00","$#REF!.$P$1:$AA$1048576",10,0)),0,VLOOKUP("1.31.00","$#REF!.$P$1:$AA$1048576",10,0)))/1000</f>
        <v>#VALUE!</v>
      </c>
      <c r="G11" s="22" t="e">
        <f>(IF(ISNA(VLOOKUP("1.31.00","$#REF!.$P$1:$AA$1048576",11,0)),0,VLOOKUP("1.31.00","$#REF!.$P$1:$AA$1048576",11,0)))/1000</f>
        <v>#VALUE!</v>
      </c>
      <c r="H11" s="22" t="e">
        <f>(IF(ISNA(VLOOKUP("1.31.00","$#REF!.$P$1:$AA$1048576",12,0)),0,VLOOKUP("1.31.00","$#REF!.$P$1:$AA$1048576",12,0)))/1000</f>
        <v>#VALUE!</v>
      </c>
    </row>
    <row r="12" spans="1:17" ht="15" customHeight="1">
      <c r="A12" s="21" t="s">
        <v>187</v>
      </c>
      <c r="B12" s="22" t="e">
        <f>(IF(ISNA(VLOOKUP("1.31.50","$#REF!.$P$1:$AA$1048576",6,0)),0,VLOOKUP("1.31.50","$#REF!.$P$1:$AA$1048576",6,0))+IF(ISNA(VLOOKUP("1.32.05","$#REF!.$P$1:$AA$1048576",6,0)),0,VLOOKUP("1.32.05","$#REF!.$P$1:$AA$1048576",6,0)))/1000</f>
        <v>#VALUE!</v>
      </c>
      <c r="C12" s="22" t="e">
        <f>(IF(ISNA(VLOOKUP("1.31.50","$#REF!.$P$1:$AA$1048576",7,0)),0,VLOOKUP("1.31.50","$#REF!.$P$1:$AA$1048576",7,0))+IF(ISNA(VLOOKUP("1.32.05","$#REF!.$P$1:$AA$1048576",7,0)),0,VLOOKUP("1.32.05","$#REF!.$P$1:$AA$1048576",7,0)))/1000</f>
        <v>#VALUE!</v>
      </c>
      <c r="D12" s="22" t="e">
        <f>(IF(ISNA(VLOOKUP("1.31.50","$#REF!.$P$1:$AA$1048576",8,0)),0,VLOOKUP("1.31.50","$#REF!.$P$1:$AA$1048576",8,0))+IF(ISNA(VLOOKUP("1.32.05","$#REF!.$P$1:$AA$1048576",8,0)),0,VLOOKUP("1.32.05","$#REF!.$P$1:$AA$1048576",8,0)))/1000</f>
        <v>#VALUE!</v>
      </c>
      <c r="E12" s="22" t="e">
        <f>(IF(ISNA(VLOOKUP("1.31.50","$#REF!.$P$1:$AA$1048576",9,0)),0,VLOOKUP("1.31.50","$#REF!.$P$1:$AA$1048576",9,0))+IF(ISNA(VLOOKUP("1.32.05","$#REF!.$P$1:$AA$1048576",9,0)),0,VLOOKUP("1.32.05","$#REF!.$P$1:$AA$1048576",9,0)))/1000</f>
        <v>#VALUE!</v>
      </c>
      <c r="F12" s="22" t="e">
        <f>(IF(ISNA(VLOOKUP("1.31.50","$#REF!.$P$1:$AA$1048576",10,0)),0,VLOOKUP("1.31.50","$#REF!.$P$1:$AA$1048576",10,0))+IF(ISNA(VLOOKUP("1.32.05","$#REF!.$P$1:$AA$1048576",10,0)),0,VLOOKUP("1.32.05","$#REF!.$P$1:$AA$1048576",10,0)))/1000</f>
        <v>#VALUE!</v>
      </c>
      <c r="G12" s="22" t="e">
        <f>(IF(ISNA(VLOOKUP("1.31.50","$#REF!.$P$1:$AA$1048576",11,0)),0,VLOOKUP("1.31.50","$#REF!.$P$1:$AA$1048576",11,0))+IF(ISNA(VLOOKUP("1.32.05","$#REF!.$P$1:$AA$1048576",11,0)),0,VLOOKUP("1.32.05","$#REF!.$P$1:$AA$1048576",11,0)))/1000</f>
        <v>#VALUE!</v>
      </c>
      <c r="H12" s="22" t="e">
        <f>(IF(ISNA(VLOOKUP("1.31.50","$#REF!.$P$1:$AA$1048576",12,0)),0,VLOOKUP("1.31.50","$#REF!.$P$1:$AA$1048576",12,0))+IF(ISNA(VLOOKUP("1.32.05","$#REF!.$P$1:$AA$1048576",12,0)),0,VLOOKUP("1.32.05","$#REF!.$P$1:$AA$1048576",12,0)))/1000</f>
        <v>#VALUE!</v>
      </c>
    </row>
    <row r="13" spans="1:17" ht="15" customHeight="1">
      <c r="A13" s="21" t="s">
        <v>188</v>
      </c>
      <c r="B13" s="22" t="e">
        <f>(IF(ISNA(VLOOKUP("1.32.00","$#REF!.$P$1:$AA$1048576",6,0)),0,VLOOKUP("1.32.00","$#REF!.$P$1:$AA$1048576",6,0))+IF(ISNA(VLOOKUP("1.32.10","$#REF!.$P$1:$AA$1048576",6,0)),0,VLOOKUP("1.32.10","$#REF!.$P$1:$AA$1048576",6,0)))/1000</f>
        <v>#VALUE!</v>
      </c>
      <c r="C13" s="22" t="e">
        <f>(IF(ISNA(VLOOKUP("1.32.00","$#REF!.$P$1:$AA$1048576",7,0)),0,VLOOKUP("1.32.00","$#REF!.$P$1:$AA$1048576",7,0))+IF(ISNA(VLOOKUP("1.32.10","$#REF!.$P$1:$AA$1048576",7,0)),0,VLOOKUP("1.32.10","$#REF!.$P$1:$AA$1048576",7,0)))/1000</f>
        <v>#VALUE!</v>
      </c>
      <c r="D13" s="22" t="e">
        <f>(IF(ISNA(VLOOKUP("1.32.00","$#REF!.$P$1:$AA$1048576",8,0)),0,VLOOKUP("1.32.00","$#REF!.$P$1:$AA$1048576",8,0))+IF(ISNA(VLOOKUP("1.32.10","$#REF!.$P$1:$AA$1048576",8,0)),0,VLOOKUP("1.32.10","$#REF!.$P$1:$AA$1048576",8,0)))/1000</f>
        <v>#VALUE!</v>
      </c>
      <c r="E13" s="22" t="e">
        <f>(IF(ISNA(VLOOKUP("1.32.00","$#REF!.$P$1:$AA$1048576",9,0)),0,VLOOKUP("1.32.00","$#REF!.$P$1:$AA$1048576",9,0))+IF(ISNA(VLOOKUP("1.32.10","$#REF!.$P$1:$AA$1048576",9,0)),0,VLOOKUP("1.32.10","$#REF!.$P$1:$AA$1048576",9,0)))/1000</f>
        <v>#VALUE!</v>
      </c>
      <c r="F13" s="22" t="e">
        <f>(IF(ISNA(VLOOKUP("1.32.00","$#REF!.$P$1:$AA$1048576",10,0)),0,VLOOKUP("1.32.00","$#REF!.$P$1:$AA$1048576",10,0))+IF(ISNA(VLOOKUP("1.32.10","$#REF!.$P$1:$AA$1048576",10,0)),0,VLOOKUP("1.32.10","$#REF!.$P$1:$AA$1048576",10,0)))/1000</f>
        <v>#VALUE!</v>
      </c>
      <c r="G13" s="22" t="e">
        <f>(IF(ISNA(VLOOKUP("1.32.00","$#REF!.$P$1:$AA$1048576",11,0)),0,VLOOKUP("1.32.00","$#REF!.$P$1:$AA$1048576",11,0))+IF(ISNA(VLOOKUP("1.32.10","$#REF!.$P$1:$AA$1048576",11,0)),0,VLOOKUP("1.32.10","$#REF!.$P$1:$AA$1048576",11,0)))/1000</f>
        <v>#VALUE!</v>
      </c>
      <c r="H13" s="22" t="e">
        <f>(IF(ISNA(VLOOKUP("1.32.00","$#REF!.$P$1:$AA$1048576",12,0)),0,VLOOKUP("1.32.00","$#REF!.$P$1:$AA$1048576",12,0))+IF(ISNA(VLOOKUP("1.32.10","$#REF!.$P$1:$AA$1048576",12,0)),0,VLOOKUP("1.32.10","$#REF!.$P$1:$AA$1048576",12,0)))/1000</f>
        <v>#VALUE!</v>
      </c>
    </row>
    <row r="14" spans="1:17" ht="15" customHeight="1">
      <c r="A14" s="21" t="s">
        <v>189</v>
      </c>
      <c r="B14" s="22" t="e">
        <f>(IF(ISNA(VLOOKUP("1.32.50","$#REF!.$P$1:$AA$1048576",6,0)),0,VLOOKUP("1.32.50","$#REF!.$P$1:$AA$1048576",6,0))+IF(ISNA(VLOOKUP("1.32.07","$#REF!.$P$1:$AA$1048576",6,0)),0,VLOOKUP("1.32.07","$#REF!.$P$1:$AA$1048576",6,0)))/1000</f>
        <v>#VALUE!</v>
      </c>
      <c r="C14" s="22" t="e">
        <f>(IF(ISNA(VLOOKUP("1.32.50","$#REF!.$P$1:$AA$1048576",7,0)),0,VLOOKUP("1.32.50","$#REF!.$P$1:$AA$1048576",7,0))+IF(ISNA(VLOOKUP("1.32.07","$#REF!.$P$1:$AA$1048576",7,0)),0,VLOOKUP("1.32.07","$#REF!.$P$1:$AA$1048576",7,0)))/1000</f>
        <v>#VALUE!</v>
      </c>
      <c r="D14" s="22" t="e">
        <f>(IF(ISNA(VLOOKUP("1.32.50","$#REF!.$P$1:$AA$1048576",8,0)),0,VLOOKUP("1.32.50","$#REF!.$P$1:$AA$1048576",8,0))+IF(ISNA(VLOOKUP("1.32.07","$#REF!.$P$1:$AA$1048576",8,0)),0,VLOOKUP("1.32.07","$#REF!.$P$1:$AA$1048576",8,0)))/1000</f>
        <v>#VALUE!</v>
      </c>
      <c r="E14" s="22" t="e">
        <f>(IF(ISNA(VLOOKUP("1.32.50","$#REF!.$P$1:$AA$1048576",9,0)),0,VLOOKUP("1.32.50","$#REF!.$P$1:$AA$1048576",9,0))+IF(ISNA(VLOOKUP("1.32.07","$#REF!.$P$1:$AA$1048576",9,0)),0,VLOOKUP("1.32.07","$#REF!.$P$1:$AA$1048576",9,0)))/1000</f>
        <v>#VALUE!</v>
      </c>
      <c r="F14" s="22" t="e">
        <f>(IF(ISNA(VLOOKUP("1.32.50","$#REF!.$P$1:$AA$1048576",10,0)),0,VLOOKUP("1.32.50","$#REF!.$P$1:$AA$1048576",10,0))+IF(ISNA(VLOOKUP("1.32.07","$#REF!.$P$1:$AA$1048576",10,0)),0,VLOOKUP("1.32.07","$#REF!.$P$1:$AA$1048576",10,0)))/1000</f>
        <v>#VALUE!</v>
      </c>
      <c r="G14" s="22" t="e">
        <f>(IF(ISNA(VLOOKUP("1.32.50","$#REF!.$P$1:$AA$1048576",11,0)),0,VLOOKUP("1.32.50","$#REF!.$P$1:$AA$1048576",11,0))+IF(ISNA(VLOOKUP("1.32.07","$#REF!.$P$1:$AA$1048576",11,0)),0,VLOOKUP("1.32.07","$#REF!.$P$1:$AA$1048576",11,0)))/1000</f>
        <v>#VALUE!</v>
      </c>
      <c r="H14" s="22" t="e">
        <f>(IF(ISNA(VLOOKUP("1.32.50","$#REF!.$P$1:$AA$1048576",12,0)),0,VLOOKUP("1.32.50","$#REF!.$P$1:$AA$1048576",12,0))+IF(ISNA(VLOOKUP("1.32.07","$#REF!.$P$1:$AA$1048576",12,0)),0,VLOOKUP("1.32.07","$#REF!.$P$1:$AA$1048576",12,0)))/1000</f>
        <v>#VALUE!</v>
      </c>
    </row>
    <row r="15" spans="1:17" ht="15" customHeight="1">
      <c r="A15" s="23" t="s">
        <v>181</v>
      </c>
      <c r="B15" s="24" t="e">
        <f t="shared" ref="B15:H15" si="1">SUM(B8:B14)</f>
        <v>#VALUE!</v>
      </c>
      <c r="C15" s="24" t="e">
        <f t="shared" si="1"/>
        <v>#VALUE!</v>
      </c>
      <c r="D15" s="24" t="e">
        <f t="shared" si="1"/>
        <v>#VALUE!</v>
      </c>
      <c r="E15" s="24" t="e">
        <f t="shared" si="1"/>
        <v>#VALUE!</v>
      </c>
      <c r="F15" s="24" t="e">
        <f t="shared" si="1"/>
        <v>#VALUE!</v>
      </c>
      <c r="G15" s="24" t="e">
        <f t="shared" si="1"/>
        <v>#VALUE!</v>
      </c>
      <c r="H15" s="24" t="e">
        <f t="shared" si="1"/>
        <v>#VALUE!</v>
      </c>
    </row>
    <row r="16" spans="1:17" ht="15" customHeight="1">
      <c r="A16" s="29"/>
      <c r="B16" s="30"/>
      <c r="C16" s="30"/>
      <c r="D16" s="30"/>
      <c r="E16" s="30"/>
      <c r="F16" s="30"/>
      <c r="G16" s="30"/>
      <c r="H16" s="30"/>
    </row>
    <row r="17" spans="1:9" ht="15" customHeight="1">
      <c r="A17" s="21" t="s">
        <v>190</v>
      </c>
      <c r="B17" s="22" t="e">
        <f>IF(ISNA(VLOOKUP("1.33.00","$#REF!.$P$1:$AA$1048576",6,0)),0,VLOOKUP("1.33.00","$#REF!.$P$1:$AA$1048576",6,0))/1000</f>
        <v>#VALUE!</v>
      </c>
      <c r="C17" s="22" t="e">
        <f>IF(ISNA(VLOOKUP("1.33.00","$#REF!.$P$1:$AA$1048576",7,0)),0,VLOOKUP("1.33.00","$#REF!.$P$1:$AA$1048576",7,0))/1000</f>
        <v>#VALUE!</v>
      </c>
      <c r="D17" s="22" t="e">
        <f>IF(ISNA(VLOOKUP("1.33.00","$#REF!.$P$1:$AA$1048576",8,0)),0,VLOOKUP("1.33.00","$#REF!.$P$1:$AA$1048576",8,0))/1000</f>
        <v>#VALUE!</v>
      </c>
      <c r="E17" s="22" t="e">
        <f>IF(ISNA(VLOOKUP("1.33.00","$#REF!.$P$1:$AA$1048576",9,0)),0,VLOOKUP("1.33.00","$#REF!.$P$1:$AA$1048576",9,0))/1000</f>
        <v>#VALUE!</v>
      </c>
      <c r="F17" s="22" t="e">
        <f>IF(ISNA(VLOOKUP("1.33.00","$#REF!.$P$1:$AA$1048576",10,0)),0,VLOOKUP("1.33.00","$#REF!.$P$1:$AA$1048576",10,0))/1000</f>
        <v>#VALUE!</v>
      </c>
      <c r="G17" s="22" t="e">
        <f>IF(ISNA(VLOOKUP("1.33.00","$#REF!.$P$1:$AA$1048576",11,0)),0,VLOOKUP("1.33.00","$#REF!.$P$1:$AA$1048576",11,0))/1000</f>
        <v>#VALUE!</v>
      </c>
      <c r="H17" s="22" t="e">
        <f>IF(ISNA(VLOOKUP("1.33.00","$#REF!.$P$1:$AA$1048576",12,0)),0,VLOOKUP("1.33.00","$#REF!.$P$1:$AA$1048576",12,0))/1000</f>
        <v>#VALUE!</v>
      </c>
      <c r="I17" s="28"/>
    </row>
    <row r="18" spans="1:9" ht="15" customHeight="1">
      <c r="A18" s="23" t="s">
        <v>181</v>
      </c>
      <c r="B18" s="24" t="e">
        <f t="shared" ref="B18:H18" si="2">+B17</f>
        <v>#VALUE!</v>
      </c>
      <c r="C18" s="24" t="e">
        <f t="shared" si="2"/>
        <v>#VALUE!</v>
      </c>
      <c r="D18" s="24" t="e">
        <f t="shared" si="2"/>
        <v>#VALUE!</v>
      </c>
      <c r="E18" s="24" t="e">
        <f t="shared" si="2"/>
        <v>#VALUE!</v>
      </c>
      <c r="F18" s="24" t="e">
        <f t="shared" si="2"/>
        <v>#VALUE!</v>
      </c>
      <c r="G18" s="24" t="e">
        <f t="shared" si="2"/>
        <v>#VALUE!</v>
      </c>
      <c r="H18" s="24" t="e">
        <f t="shared" si="2"/>
        <v>#VALUE!</v>
      </c>
    </row>
    <row r="19" spans="1:9" ht="15" customHeight="1">
      <c r="A19" s="29"/>
      <c r="B19" s="30"/>
      <c r="C19" s="30"/>
      <c r="D19" s="30"/>
      <c r="E19" s="30"/>
      <c r="F19" s="30"/>
      <c r="G19" s="30"/>
      <c r="H19" s="30"/>
    </row>
    <row r="20" spans="1:9" ht="15" customHeight="1">
      <c r="A20" s="21" t="s">
        <v>191</v>
      </c>
      <c r="B20" s="22" t="e">
        <f>IF(ISNA(VLOOKUP("1.40.01","$#REF!.$P$1:$AA$1048576",6,0)),0,VLOOKUP("1.40.01","$#REF!.$P$1:$AA$1048576",6,0))/1000</f>
        <v>#VALUE!</v>
      </c>
      <c r="C20" s="22" t="e">
        <f>IF(ISNA(VLOOKUP("1.40.01","$#REF!.$P$1:$AA$1048576",7,0)),0,VLOOKUP("1.40.01","$#REF!.$P$1:$AA$1048576",7,0))/1000</f>
        <v>#VALUE!</v>
      </c>
      <c r="D20" s="22" t="e">
        <f>IF(ISNA(VLOOKUP("1.40.01","$#REF!.$P$1:$AA$1048576",8,0)),0,VLOOKUP("1.40.01","$#REF!.$P$1:$AA$1048576",8,0))/1000</f>
        <v>#VALUE!</v>
      </c>
      <c r="E20" s="22" t="e">
        <f>IF(ISNA(VLOOKUP("1.40.01","$#REF!.$P$1:$AA$1048576",9,0)),0,VLOOKUP("1.40.01","$#REF!.$P$1:$AA$1048576",9,0))/1000</f>
        <v>#VALUE!</v>
      </c>
      <c r="F20" s="22" t="e">
        <f>IF(ISNA(VLOOKUP("1.40.01","$#REF!.$P$1:$AA$1048576",10,0)),0,VLOOKUP("1.40.01","$#REF!.$P$1:$AA$1048576",10,0))/1000</f>
        <v>#VALUE!</v>
      </c>
      <c r="G20" s="22" t="e">
        <f>IF(ISNA(VLOOKUP("1.40.01","$#REF!.$P$1:$AA$1048576",11,0)),0,VLOOKUP("1.40.01","$#REF!.$P$1:$AA$1048576",11,0))/1000</f>
        <v>#VALUE!</v>
      </c>
      <c r="H20" s="22" t="e">
        <f>IF(ISNA(VLOOKUP("1.40.01","$#REF!.$P$1:$AA$1048576",12,0)),0,VLOOKUP("1.40.01","$#REF!.$P$1:$AA$1048576",12,0))/1000</f>
        <v>#VALUE!</v>
      </c>
    </row>
    <row r="21" spans="1:9" ht="15" customHeight="1">
      <c r="A21" s="23" t="s">
        <v>181</v>
      </c>
      <c r="B21" s="24" t="e">
        <f t="shared" ref="B21:H21" si="3">+B20</f>
        <v>#VALUE!</v>
      </c>
      <c r="C21" s="24" t="e">
        <f t="shared" si="3"/>
        <v>#VALUE!</v>
      </c>
      <c r="D21" s="24" t="e">
        <f t="shared" si="3"/>
        <v>#VALUE!</v>
      </c>
      <c r="E21" s="24" t="e">
        <f t="shared" si="3"/>
        <v>#VALUE!</v>
      </c>
      <c r="F21" s="24" t="e">
        <f t="shared" si="3"/>
        <v>#VALUE!</v>
      </c>
      <c r="G21" s="24" t="e">
        <f t="shared" si="3"/>
        <v>#VALUE!</v>
      </c>
      <c r="H21" s="24" t="e">
        <f t="shared" si="3"/>
        <v>#VALUE!</v>
      </c>
    </row>
    <row r="22" spans="1:9" ht="15" customHeight="1">
      <c r="A22" s="20"/>
      <c r="B22" s="27"/>
      <c r="C22" s="27"/>
      <c r="D22" s="27"/>
      <c r="E22" s="27"/>
      <c r="F22" s="27"/>
      <c r="G22" s="27"/>
      <c r="H22" s="27"/>
    </row>
    <row r="23" spans="1:9" ht="15" customHeight="1">
      <c r="A23" s="20" t="s">
        <v>192</v>
      </c>
      <c r="B23" s="22"/>
      <c r="C23" s="22"/>
      <c r="D23" s="22"/>
      <c r="E23" s="22"/>
      <c r="F23" s="22"/>
      <c r="G23" s="22"/>
      <c r="H23" s="22"/>
    </row>
    <row r="24" spans="1:9" ht="15" customHeight="1">
      <c r="A24" s="31" t="s">
        <v>193</v>
      </c>
      <c r="B24" s="22" t="e">
        <f>IF(ISNA(VLOOKUP("1.36.00","$#REF!.$P$1:$AA$1048576",6,0)),0,VLOOKUP("1.36.00","$#REF!.$P$1:$AA$1048576",6,0))/1000</f>
        <v>#VALUE!</v>
      </c>
      <c r="C24" s="22" t="e">
        <f>IF(ISNA(VLOOKUP("1.36.00","$#REF!.$P$1:$AA$1048576",7,0)),0,VLOOKUP("1.36.00","$#REF!.$P$1:$AA$1048576",7,0))/1000</f>
        <v>#VALUE!</v>
      </c>
      <c r="D24" s="22" t="e">
        <f>IF(ISNA(VLOOKUP("1.36.00","$#REF!.$P$1:$AA$1048576",8,0)),0,VLOOKUP("1.36.00","$#REF!.$P$1:$AA$1048576",8,0))/1000</f>
        <v>#VALUE!</v>
      </c>
      <c r="E24" s="22" t="e">
        <f>IF(ISNA(VLOOKUP("1.36.00","$#REF!.$P$1:$AA$1048576",9,0)),0,VLOOKUP("1.36.00","$#REF!.$P$1:$AA$1048576",9,0))/1000</f>
        <v>#VALUE!</v>
      </c>
      <c r="F24" s="22" t="e">
        <f>IF(ISNA(VLOOKUP("1.36.00","$#REF!.$P$1:$AA$1048576",10,0)),0,VLOOKUP("1.36.00","$#REF!.$P$1:$AA$1048576",10,0))/1000</f>
        <v>#VALUE!</v>
      </c>
      <c r="G24" s="22" t="e">
        <f>IF(ISNA(VLOOKUP("1.36.00","$#REF!.$P$1:$AA$1048576",11,0)),0,VLOOKUP("1.36.00","$#REF!.$P$1:$AA$1048576",11,0))/1000</f>
        <v>#VALUE!</v>
      </c>
      <c r="H24" s="22" t="e">
        <f>IF(ISNA(VLOOKUP("1.36.00","$#REF!.$P$1:$AA$1048576",12,0)),0,VLOOKUP("1.36.00","$#REF!.$P$1:$AA$1048576",12,0))/1000</f>
        <v>#VALUE!</v>
      </c>
    </row>
    <row r="25" spans="1:9" ht="15" customHeight="1">
      <c r="A25" s="23" t="s">
        <v>181</v>
      </c>
      <c r="B25" s="24" t="e">
        <f t="shared" ref="B25:H25" si="4">+B24</f>
        <v>#VALUE!</v>
      </c>
      <c r="C25" s="24" t="e">
        <f t="shared" si="4"/>
        <v>#VALUE!</v>
      </c>
      <c r="D25" s="24" t="e">
        <f t="shared" si="4"/>
        <v>#VALUE!</v>
      </c>
      <c r="E25" s="24" t="e">
        <f t="shared" si="4"/>
        <v>#VALUE!</v>
      </c>
      <c r="F25" s="24" t="e">
        <f t="shared" si="4"/>
        <v>#VALUE!</v>
      </c>
      <c r="G25" s="24" t="e">
        <f t="shared" si="4"/>
        <v>#VALUE!</v>
      </c>
      <c r="H25" s="24" t="e">
        <f t="shared" si="4"/>
        <v>#VALUE!</v>
      </c>
    </row>
    <row r="26" spans="1:9" ht="15" customHeight="1">
      <c r="A26" s="29"/>
      <c r="B26" s="30"/>
      <c r="C26" s="30"/>
      <c r="D26" s="30"/>
      <c r="E26" s="30"/>
      <c r="F26" s="30"/>
      <c r="G26" s="30"/>
      <c r="H26" s="30"/>
    </row>
    <row r="27" spans="1:9" ht="15" customHeight="1">
      <c r="A27" s="20" t="s">
        <v>194</v>
      </c>
      <c r="B27" s="27"/>
      <c r="C27" s="27"/>
      <c r="D27" s="27"/>
      <c r="E27" s="27"/>
      <c r="F27" s="27"/>
      <c r="G27" s="27"/>
      <c r="H27" s="27"/>
    </row>
    <row r="28" spans="1:9" ht="15" customHeight="1">
      <c r="A28" s="21" t="s">
        <v>195</v>
      </c>
      <c r="B28" s="22" t="e">
        <f>(IF(ISNA(VLOOKUP("1.34.50","$#REF!.$P$1:$AA$1048576",6,0)),0,VLOOKUP("1.34.50","$#REF!.$P$1:$AA$1048576",6,0))+IF(ISNA(VLOOKUP("1.34.51","$#REF!.$P$1:$AA$1048576",6,0)),0,VLOOKUP("1.34.51","$#REF!.$P$1:$AA$1048576",6,0))+IF(ISNA(VLOOKUP("1.34.52","$#REF!.$P$1:$AA$1048576",6,0)),0,VLOOKUP("1.34.52","$#REF!.$P$1:$AA$1048576",6,0)))/1000</f>
        <v>#VALUE!</v>
      </c>
      <c r="C28" s="22" t="e">
        <f>(IF(ISNA(VLOOKUP("1.34.50","$#REF!.$P$1:$AA$1048576",7,0)),0,VLOOKUP("1.34.50","$#REF!.$P$1:$AA$1048576",7,0))+IF(ISNA(VLOOKUP("1.34.51","$#REF!.$P$1:$AA$1048576",7,0)),0,VLOOKUP("1.34.51","$#REF!.$P$1:$AA$1048576",7,0))+IF(ISNA(VLOOKUP("1.34.52","$#REF!.$P$1:$AA$1048576",7,0)),0,VLOOKUP("1.34.52","$#REF!.$P$1:$AA$1048576",7,0)))/1000</f>
        <v>#VALUE!</v>
      </c>
      <c r="D28" s="22" t="e">
        <f>(IF(ISNA(VLOOKUP("1.34.50","$#REF!.$P$1:$AA$1048576",8,0)),0,VLOOKUP("1.34.50","$#REF!.$P$1:$AA$1048576",8,0))+IF(ISNA(VLOOKUP("1.34.51","$#REF!.$P$1:$AA$1048576",8,0)),0,VLOOKUP("1.34.51","$#REF!.$P$1:$AA$1048576",8,0))+IF(ISNA(VLOOKUP("1.34.52","$#REF!.$P$1:$AA$1048576",8,0)),0,VLOOKUP("1.34.52","$#REF!.$P$1:$AA$1048576",8,0)))/1000</f>
        <v>#VALUE!</v>
      </c>
      <c r="E28" s="22" t="e">
        <f>(IF(ISNA(VLOOKUP("1.34.50","$#REF!.$P$1:$AA$1048576",9,0)),0,VLOOKUP("1.34.50","$#REF!.$P$1:$AA$1048576",9,0))+IF(ISNA(VLOOKUP("1.34.51","$#REF!.$P$1:$AA$1048576",9,0)),0,VLOOKUP("1.34.51","$#REF!.$P$1:$AA$1048576",9,0))+IF(ISNA(VLOOKUP("1.34.52","$#REF!.$P$1:$AA$1048576",9,0)),0,VLOOKUP("1.34.52","$#REF!.$P$1:$AA$1048576",9,0)))/1000</f>
        <v>#VALUE!</v>
      </c>
      <c r="F28" s="22" t="e">
        <f>(IF(ISNA(VLOOKUP("1.34.50","$#REF!.$P$1:$AA$1048576",10,0)),0,VLOOKUP("1.34.50","$#REF!.$P$1:$AA$1048576",10,0))+IF(ISNA(VLOOKUP("1.34.51","$#REF!.$P$1:$AA$1048576",10,0)),0,VLOOKUP("1.34.51","$#REF!.$P$1:$AA$1048576",10,0))+IF(ISNA(VLOOKUP("1.34.52","$#REF!.$P$1:$AA$1048576",10,0)),0,VLOOKUP("1.34.52","$#REF!.$P$1:$AA$1048576",10,0)))/1000</f>
        <v>#VALUE!</v>
      </c>
      <c r="G28" s="22" t="e">
        <f>(IF(ISNA(VLOOKUP("1.34.50","$#REF!.$P$1:$AA$1048576",11,0)),0,VLOOKUP("1.34.50","$#REF!.$P$1:$AA$1048576",11,0))+IF(ISNA(VLOOKUP("1.34.51","$#REF!.$P$1:$AA$1048576",11,0)),0,VLOOKUP("1.34.51","$#REF!.$P$1:$AA$1048576",11,0))+IF(ISNA(VLOOKUP("1.34.52","$#REF!.$P$1:$AA$1048576",11,0)),0,VLOOKUP("1.34.52","$#REF!.$P$1:$AA$1048576",11,0)))/1000</f>
        <v>#VALUE!</v>
      </c>
      <c r="H28" s="22" t="e">
        <f>(IF(ISNA(VLOOKUP("1.34.50","$#REF!.$P$1:$AA$1048576",12,0)),0,VLOOKUP("1.34.50","$#REF!.$P$1:$AA$1048576",12,0))+IF(ISNA(VLOOKUP("1.34.51","$#REF!.$P$1:$AA$1048576",12,0)),0,VLOOKUP("1.34.51","$#REF!.$P$1:$AA$1048576",12,0))+IF(ISNA(VLOOKUP("1.34.52","$#REF!.$P$1:$AA$1048576",12,0)),0,VLOOKUP("1.34.52","$#REF!.$P$1:$AA$1048576",12,0)))/1000</f>
        <v>#VALUE!</v>
      </c>
    </row>
    <row r="29" spans="1:9" ht="15" customHeight="1">
      <c r="A29" s="21" t="s">
        <v>196</v>
      </c>
      <c r="B29" s="22" t="e">
        <f>IF(ISNA(VLOOKUP("1.20.02","$#REF!.$P$1:$AA$1048576",6,0)),0,VLOOKUP("1.20.02","$#REF!.$P$1:$AA$1048576",6,0))/1000</f>
        <v>#VALUE!</v>
      </c>
      <c r="C29" s="22" t="e">
        <f>IF(ISNA(VLOOKUP("1.20.02","$#REF!.$P$1:$AA$1048576",7,0)),0,VLOOKUP("1.20.02","$#REF!.$P$1:$AA$1048576",7,0))/1000</f>
        <v>#VALUE!</v>
      </c>
      <c r="D29" s="22" t="e">
        <f>IF(ISNA(VLOOKUP("1.20.02","$#REF!.$P$1:$AA$1048576",8,0)),0,VLOOKUP("1.20.02","$#REF!.$P$1:$AA$1048576",8,0))/1000</f>
        <v>#VALUE!</v>
      </c>
      <c r="E29" s="22" t="e">
        <f>IF(ISNA(VLOOKUP("1.20.02","$#REF!.$P$1:$AA$1048576",9,0)),0,VLOOKUP("1.20.02","$#REF!.$P$1:$AA$1048576",9,0))/1000</f>
        <v>#VALUE!</v>
      </c>
      <c r="F29" s="22" t="e">
        <f>IF(ISNA(VLOOKUP("1.20.02","$#REF!.$P$1:$AA$1048576",10,0)),0,VLOOKUP("1.20.02","$#REF!.$P$1:$AA$1048576",10,0))/1000</f>
        <v>#VALUE!</v>
      </c>
      <c r="G29" s="22" t="e">
        <f>IF(ISNA(VLOOKUP("1.20.02","$#REF!.$P$1:$AA$1048576",11,0)),0,VLOOKUP("1.20.02","$#REF!.$P$1:$AA$1048576",11,0))/1000</f>
        <v>#VALUE!</v>
      </c>
      <c r="H29" s="22" t="e">
        <f>IF(ISNA(VLOOKUP("1.20.02","$#REF!.$P$1:$AA$1048576",12,0)),0,VLOOKUP("1.20.02","$#REF!.$P$1:$AA$1048576",12,0))/1000</f>
        <v>#VALUE!</v>
      </c>
    </row>
    <row r="30" spans="1:9" ht="15" customHeight="1">
      <c r="A30" s="21" t="s">
        <v>197</v>
      </c>
      <c r="B30" s="22" t="e">
        <f>(IF(ISNA(VLOOKUP("1.21.01","$#REF!.$P$1:$AA$1048576",6,0)),0,VLOOKUP("1.21.01","$#REF!.$P$1:$AA$1048576",6,0))+IF(ISNA(VLOOKUP("1.21.06","$#REF!.$P$1:$AA$1048576",6,0)),0,VLOOKUP("1.21.06","$#REF!.$P$1:$AA$1048576",6,0))+IF(ISNA(VLOOKUP("1.21.09","$#REF!.$P$1:$AA$1048576",6,0)),0,VLOOKUP("1.21.09","$#REF!.$P$1:$AA$1048576",6,0)))/1000</f>
        <v>#VALUE!</v>
      </c>
      <c r="C30" s="22" t="e">
        <f>(IF(ISNA(VLOOKUP("1.21.01","$#REF!.$P$1:$AA$1048576",7,0)),0,VLOOKUP("1.21.01","$#REF!.$P$1:$AA$1048576",7,0))+IF(ISNA(VLOOKUP("1.21.06","$#REF!.$P$1:$AA$1048576",7,0)),0,VLOOKUP("1.21.06","$#REF!.$P$1:$AA$1048576",7,0))+IF(ISNA(VLOOKUP("1.21.09","$#REF!.$P$1:$AA$1048576",7,0)),0,VLOOKUP("1.21.09","$#REF!.$P$1:$AA$1048576",7,0)))/1000</f>
        <v>#VALUE!</v>
      </c>
      <c r="D30" s="22" t="e">
        <f>(IF(ISNA(VLOOKUP("1.21.01","$#REF!.$P$1:$AA$1048576",8,0)),0,VLOOKUP("1.21.01","$#REF!.$P$1:$AA$1048576",8,0))+IF(ISNA(VLOOKUP("1.21.06","$#REF!.$P$1:$AA$1048576",8,0)),0,VLOOKUP("1.21.06","$#REF!.$P$1:$AA$1048576",8,0))+IF(ISNA(VLOOKUP("1.21.09","$#REF!.$P$1:$AA$1048576",8,0)),0,VLOOKUP("1.21.09","$#REF!.$P$1:$AA$1048576",8,0)))/1000</f>
        <v>#VALUE!</v>
      </c>
      <c r="E30" s="22" t="e">
        <f>(IF(ISNA(VLOOKUP("1.21.01","$#REF!.$P$1:$AA$1048576",9,0)),0,VLOOKUP("1.21.01","$#REF!.$P$1:$AA$1048576",9,0))+IF(ISNA(VLOOKUP("1.21.06","$#REF!.$P$1:$AA$1048576",9,0)),0,VLOOKUP("1.21.06","$#REF!.$P$1:$AA$1048576",9,0))+IF(ISNA(VLOOKUP("1.21.09","$#REF!.$P$1:$AA$1048576",9,0)),0,VLOOKUP("1.21.09","$#REF!.$P$1:$AA$1048576",9,0)))/1000</f>
        <v>#VALUE!</v>
      </c>
      <c r="F30" s="22" t="e">
        <f>(IF(ISNA(VLOOKUP("1.21.01","$#REF!.$P$1:$AA$1048576",10,0)),0,VLOOKUP("1.21.01","$#REF!.$P$1:$AA$1048576",10,0))+IF(ISNA(VLOOKUP("1.21.06","$#REF!.$P$1:$AA$1048576",10,0)),0,VLOOKUP("1.21.06","$#REF!.$P$1:$AA$1048576",10,0))+IF(ISNA(VLOOKUP("1.21.09","$#REF!.$P$1:$AA$1048576",10,0)),0,VLOOKUP("1.21.09","$#REF!.$P$1:$AA$1048576",10,0)))/1000</f>
        <v>#VALUE!</v>
      </c>
      <c r="G30" s="22" t="e">
        <f>(IF(ISNA(VLOOKUP("1.21.01","$#REF!.$P$1:$AA$1048576",11,0)),0,VLOOKUP("1.21.01","$#REF!.$P$1:$AA$1048576",11,0))+IF(ISNA(VLOOKUP("1.21.06","$#REF!.$P$1:$AA$1048576",11,0)),0,VLOOKUP("1.21.06","$#REF!.$P$1:$AA$1048576",11,0))+IF(ISNA(VLOOKUP("1.21.09","$#REF!.$P$1:$AA$1048576",11,0)),0,VLOOKUP("1.21.09","$#REF!.$P$1:$AA$1048576",11,0)))/1000</f>
        <v>#VALUE!</v>
      </c>
      <c r="H30" s="22" t="e">
        <f>(IF(ISNA(VLOOKUP("1.21.01","$#REF!.$P$1:$AA$1048576",12,0)),0,VLOOKUP("1.21.01","$#REF!.$P$1:$AA$1048576",12,0))+IF(ISNA(VLOOKUP("1.21.06","$#REF!.$P$1:$AA$1048576",12,0)),0,VLOOKUP("1.21.06","$#REF!.$P$1:$AA$1048576",12,0))+IF(ISNA(VLOOKUP("1.21.09","$#REF!.$P$1:$AA$1048576",12,0)),0,VLOOKUP("1.21.09","$#REF!.$P$1:$AA$1048576",12,0)))/1000</f>
        <v>#VALUE!</v>
      </c>
    </row>
    <row r="31" spans="1:9" ht="15" customHeight="1">
      <c r="A31" s="23" t="s">
        <v>181</v>
      </c>
      <c r="B31" s="24" t="e">
        <f t="shared" ref="B31:H31" si="5">SUM(B28:B30)</f>
        <v>#VALUE!</v>
      </c>
      <c r="C31" s="24" t="e">
        <f t="shared" si="5"/>
        <v>#VALUE!</v>
      </c>
      <c r="D31" s="24" t="e">
        <f t="shared" si="5"/>
        <v>#VALUE!</v>
      </c>
      <c r="E31" s="24" t="e">
        <f t="shared" si="5"/>
        <v>#VALUE!</v>
      </c>
      <c r="F31" s="24" t="e">
        <f t="shared" si="5"/>
        <v>#VALUE!</v>
      </c>
      <c r="G31" s="24" t="e">
        <f t="shared" si="5"/>
        <v>#VALUE!</v>
      </c>
      <c r="H31" s="24" t="e">
        <f t="shared" si="5"/>
        <v>#VALUE!</v>
      </c>
    </row>
    <row r="32" spans="1:9" ht="15" customHeight="1">
      <c r="A32" s="21"/>
      <c r="B32" s="22"/>
      <c r="C32" s="22"/>
      <c r="D32" s="22"/>
      <c r="E32" s="22"/>
      <c r="F32" s="22"/>
      <c r="G32" s="22"/>
      <c r="H32" s="22"/>
    </row>
    <row r="33" spans="1:17" ht="15" customHeight="1">
      <c r="A33" s="20" t="s">
        <v>198</v>
      </c>
      <c r="B33" s="27"/>
      <c r="C33" s="27"/>
      <c r="D33" s="27"/>
      <c r="E33" s="27"/>
      <c r="F33" s="27"/>
      <c r="G33" s="27"/>
      <c r="H33" s="27"/>
      <c r="K33" s="32"/>
      <c r="L33" s="32"/>
      <c r="M33" s="32"/>
      <c r="N33" s="32"/>
      <c r="O33" s="32"/>
    </row>
    <row r="34" spans="1:17" ht="15" customHeight="1">
      <c r="A34" s="21" t="s">
        <v>198</v>
      </c>
      <c r="B34" s="30" t="e">
        <f>(IF(ISNA(VLOOKUP("1.12.01.25","$#REF!.$P$1:$AA$1048576",6,0)),0,VLOOKUP("1.12.01.25","$#REF!.$P$1:$AA$1048576",6,0))+IF(ISNA(VLOOKUP("1.12.01.91","$#REF!.$P$1:$AA$1048576",6,0)),0,VLOOKUP("1.12.01.91","$#REF!.$P$1:$AA$1048576",6,0))+IF(ISNA(VLOOKUP("1.12.01.92","$#REF!.$P$1:$AA$1048576",6,0)),0,VLOOKUP("1.12.01.92","$#REF!.$P$1:$AA$1048576",6,0))+IF(ISNA(VLOOKUP("1.12.01.94","$#REF!.$P$1:$AA$1048576",6,0)),0,VLOOKUP("1.12.01.94","$#REF!.$P$1:$AA$1048576",6,0))+IF(ISNA(VLOOKUP("1.12.01.95","$#REF!.$P$1:$AA$1048576",6,0)),0,VLOOKUP("1.12.01.95","$#REF!.$P$1:$AA$1048576",6,0)))/1000</f>
        <v>#VALUE!</v>
      </c>
      <c r="C34" s="30" t="e">
        <f>(IF(ISNA(VLOOKUP("1.12.01.25","$#REF!.$P$1:$AA$1048576",7,0)),0,VLOOKUP("1.12.01.25","$#REF!.$P$1:$AA$1048576",7,0))+IF(ISNA(VLOOKUP("1.12.01.91","$#REF!.$P$1:$AA$1048576",7,0)),0,VLOOKUP("1.12.01.91","$#REF!.$P$1:$AA$1048576",7,0))+IF(ISNA(VLOOKUP("1.12.01.92","$#REF!.$P$1:$AA$1048576",7,0)),0,VLOOKUP("1.12.01.92","$#REF!.$P$1:$AA$1048576",7,0))+IF(ISNA(VLOOKUP("1.12.01.94","$#REF!.$P$1:$AA$1048576",7,0)),0,VLOOKUP("1.12.01.94","$#REF!.$P$1:$AA$1048576",7,0))+IF(ISNA(VLOOKUP("1.12.01.95","$#REF!.$P$1:$AA$1048576",7,0)),0,VLOOKUP("1.12.01.95","$#REF!.$P$1:$AA$1048576",7,0)))/1000</f>
        <v>#VALUE!</v>
      </c>
      <c r="D34" s="30" t="e">
        <f>(IF(ISNA(VLOOKUP("1.12.01.25","$#REF!.$P$1:$AA$1048576",8,0)),0,VLOOKUP("1.12.01.25","$#REF!.$P$1:$AA$1048576",8,0))+IF(ISNA(VLOOKUP("1.12.01.91","$#REF!.$P$1:$AA$1048576",8,0)),0,VLOOKUP("1.12.01.91","$#REF!.$P$1:$AA$1048576",8,0))+IF(ISNA(VLOOKUP("1.12.01.92","$#REF!.$P$1:$AA$1048576",8,0)),0,VLOOKUP("1.12.01.92","$#REF!.$P$1:$AA$1048576",8,0))+IF(ISNA(VLOOKUP("1.12.01.94","$#REF!.$P$1:$AA$1048576",8,0)),0,VLOOKUP("1.12.01.94","$#REF!.$P$1:$AA$1048576",8,0))+IF(ISNA(VLOOKUP("1.12.01.95","$#REF!.$P$1:$AA$1048576",8,0)),0,VLOOKUP("1.12.01.95","$#REF!.$P$1:$AA$1048576",8,0)))/1000+65.108</f>
        <v>#VALUE!</v>
      </c>
      <c r="E34" s="30" t="e">
        <f>(IF(ISNA(VLOOKUP("1.12.01.25","$#REF!.$P$1:$AA$1048576",9,0)),0,VLOOKUP("1.12.01.25","$#REF!.$P$1:$AA$1048576",9,0))+IF(ISNA(VLOOKUP("1.12.01.91","$#REF!.$P$1:$AA$1048576",9,0)),0,VLOOKUP("1.12.01.91","$#REF!.$P$1:$AA$1048576",9,0))+IF(ISNA(VLOOKUP("1.12.01.92","$#REF!.$P$1:$AA$1048576",9,0)),0,VLOOKUP("1.12.01.92","$#REF!.$P$1:$AA$1048576",9,0))+IF(ISNA(VLOOKUP("1.12.01.94","$#REF!.$P$1:$AA$1048576",9,0)),0,VLOOKUP("1.12.01.94","$#REF!.$P$1:$AA$1048576",9,0))+IF(ISNA(VLOOKUP("1.12.01.95","$#REF!.$P$1:$AA$1048576",9,0)),0,VLOOKUP("1.12.01.95","$#REF!.$P$1:$AA$1048576",9,0)))/1000+65.108</f>
        <v>#VALUE!</v>
      </c>
      <c r="F34" s="30" t="e">
        <f>(IF(ISNA(VLOOKUP("1.12.01.25","$#REF!.$P$1:$AA$1048576",10,0)),0,VLOOKUP("1.12.01.25","$#REF!.$P$1:$AA$1048576",10,0))+IF(ISNA(VLOOKUP("1.12.01.91","$#REF!.$P$1:$AA$1048576",10,0)),0,VLOOKUP("1.12.01.91","$#REF!.$P$1:$AA$1048576",10,0))+IF(ISNA(VLOOKUP("1.12.01.92","$#REF!.$P$1:$AA$1048576",10,0)),0,VLOOKUP("1.12.01.92","$#REF!.$P$1:$AA$1048576",10,0))+IF(ISNA(VLOOKUP("1.12.01.94","$#REF!.$P$1:$AA$1048576",10,0)),0,VLOOKUP("1.12.01.94","$#REF!.$P$1:$AA$1048576",10,0))+IF(ISNA(VLOOKUP("1.12.01.95","$#REF!.$P$1:$AA$1048576",10,0)),0,VLOOKUP("1.12.01.95","$#REF!.$P$1:$AA$1048576",10,0)))/1000+65.108</f>
        <v>#VALUE!</v>
      </c>
      <c r="G34" s="30" t="e">
        <f>(IF(ISNA(VLOOKUP("1.12.01.25","$#REF!.$P$1:$AA$1048576",11,0)),0,VLOOKUP("1.12.01.25","$#REF!.$P$1:$AA$1048576",11,0))+IF(ISNA(VLOOKUP("1.12.01.91","$#REF!.$P$1:$AA$1048576",11,0)),0,VLOOKUP("1.12.01.91","$#REF!.$P$1:$AA$1048576",11,0))+IF(ISNA(VLOOKUP("1.12.01.92","$#REF!.$P$1:$AA$1048576",11,0)),0,VLOOKUP("1.12.01.92","$#REF!.$P$1:$AA$1048576",11,0))+IF(ISNA(VLOOKUP("1.12.01.94","$#REF!.$P$1:$AA$1048576",11,0)),0,VLOOKUP("1.12.01.94","$#REF!.$P$1:$AA$1048576",11,0))+IF(ISNA(VLOOKUP("1.12.01.95","$#REF!.$P$1:$AA$1048576",11,0)),0,VLOOKUP("1.12.01.95","$#REF!.$P$1:$AA$1048576",11,0)))/1000+65.108</f>
        <v>#VALUE!</v>
      </c>
      <c r="H34" s="30" t="e">
        <f>(IF(ISNA(VLOOKUP("1.12.01.25","$#REF!.$P$1:$AA$1048576",12,0)),0,VLOOKUP("1.12.01.25","$#REF!.$P$1:$AA$1048576",12,0))+IF(ISNA(VLOOKUP("1.12.01.91","$#REF!.$P$1:$AA$1048576",12,0)),0,VLOOKUP("1.12.01.91","$#REF!.$P$1:$AA$1048576",12,0))+IF(ISNA(VLOOKUP("1.12.01.92","$#REF!.$P$1:$AA$1048576",12,0)),0,VLOOKUP("1.12.01.92","$#REF!.$P$1:$AA$1048576",12,0))+IF(ISNA(VLOOKUP("1.12.01.94","$#REF!.$P$1:$AA$1048576",12,0)),0,VLOOKUP("1.12.01.94","$#REF!.$P$1:$AA$1048576",12,0))+IF(ISNA(VLOOKUP("1.12.01.95","$#REF!.$P$1:$AA$1048576",12,0)),0,VLOOKUP("1.12.01.95","$#REF!.$P$1:$AA$1048576",12,0)))/1000+65.108</f>
        <v>#VALUE!</v>
      </c>
      <c r="I34" s="33"/>
      <c r="K34" s="34" t="s">
        <v>199</v>
      </c>
      <c r="L34" s="35">
        <v>2014</v>
      </c>
      <c r="M34" s="35">
        <v>2015</v>
      </c>
      <c r="N34" s="35">
        <v>2016</v>
      </c>
      <c r="O34" s="35">
        <v>2017</v>
      </c>
      <c r="P34" s="35">
        <v>2018</v>
      </c>
      <c r="Q34" s="35">
        <v>2019</v>
      </c>
    </row>
    <row r="35" spans="1:17" ht="15" customHeight="1">
      <c r="A35" s="23" t="s">
        <v>181</v>
      </c>
      <c r="B35" s="24" t="e">
        <f t="shared" ref="B35:H35" si="6">SUM(B34:B34)</f>
        <v>#VALUE!</v>
      </c>
      <c r="C35" s="24" t="e">
        <f t="shared" si="6"/>
        <v>#VALUE!</v>
      </c>
      <c r="D35" s="24" t="e">
        <f t="shared" si="6"/>
        <v>#VALUE!</v>
      </c>
      <c r="E35" s="24" t="e">
        <f t="shared" si="6"/>
        <v>#VALUE!</v>
      </c>
      <c r="F35" s="24" t="e">
        <f t="shared" si="6"/>
        <v>#VALUE!</v>
      </c>
      <c r="G35" s="24" t="e">
        <f t="shared" si="6"/>
        <v>#VALUE!</v>
      </c>
      <c r="H35" s="24" t="e">
        <f t="shared" si="6"/>
        <v>#VALUE!</v>
      </c>
      <c r="K35" s="34" t="s">
        <v>200</v>
      </c>
      <c r="L35" s="35">
        <v>45435</v>
      </c>
      <c r="M35" s="35">
        <v>220033</v>
      </c>
      <c r="N35" s="35">
        <v>270835</v>
      </c>
      <c r="O35" s="35">
        <v>375018</v>
      </c>
      <c r="P35" s="35">
        <v>374937</v>
      </c>
      <c r="Q35" s="35">
        <v>374937</v>
      </c>
    </row>
    <row r="36" spans="1:17" ht="15" customHeight="1">
      <c r="A36" s="36"/>
      <c r="B36" s="37"/>
      <c r="C36" s="37"/>
      <c r="D36" s="37"/>
      <c r="E36" s="37"/>
      <c r="F36" s="37"/>
      <c r="G36" s="37"/>
      <c r="H36" s="37"/>
      <c r="K36" s="34" t="s">
        <v>201</v>
      </c>
      <c r="L36" s="35">
        <v>0</v>
      </c>
      <c r="M36" s="35">
        <v>87145</v>
      </c>
      <c r="N36" s="35">
        <v>127211</v>
      </c>
      <c r="O36" s="35">
        <v>277461</v>
      </c>
      <c r="P36" s="35">
        <v>267444</v>
      </c>
      <c r="Q36" s="35">
        <v>267444</v>
      </c>
    </row>
    <row r="37" spans="1:17" ht="15" customHeight="1">
      <c r="A37" s="36" t="s">
        <v>202</v>
      </c>
      <c r="B37" s="37" t="e">
        <f t="shared" ref="B37:H37" si="7">+B5+B15+B18+B21+B31+B25+B35</f>
        <v>#VALUE!</v>
      </c>
      <c r="C37" s="37" t="e">
        <f t="shared" si="7"/>
        <v>#VALUE!</v>
      </c>
      <c r="D37" s="37" t="e">
        <f t="shared" si="7"/>
        <v>#VALUE!</v>
      </c>
      <c r="E37" s="37" t="e">
        <f t="shared" si="7"/>
        <v>#VALUE!</v>
      </c>
      <c r="F37" s="37" t="e">
        <f t="shared" si="7"/>
        <v>#VALUE!</v>
      </c>
      <c r="G37" s="37" t="e">
        <f t="shared" si="7"/>
        <v>#VALUE!</v>
      </c>
      <c r="H37" s="37" t="e">
        <f t="shared" si="7"/>
        <v>#VALUE!</v>
      </c>
      <c r="K37" s="34" t="s">
        <v>203</v>
      </c>
      <c r="L37" s="35">
        <v>0</v>
      </c>
      <c r="M37" s="35">
        <v>65108</v>
      </c>
      <c r="N37" s="35">
        <v>65108</v>
      </c>
      <c r="O37" s="35">
        <v>65108</v>
      </c>
      <c r="P37" s="35">
        <v>65108</v>
      </c>
      <c r="Q37" s="35">
        <v>65108</v>
      </c>
    </row>
    <row r="38" spans="1:17" ht="15" customHeight="1">
      <c r="A38" s="38"/>
      <c r="B38" s="39"/>
      <c r="C38" s="39"/>
      <c r="D38" s="39"/>
      <c r="E38" s="38"/>
      <c r="F38" s="38"/>
      <c r="G38" s="38"/>
      <c r="H38" s="38"/>
      <c r="I38" s="40"/>
      <c r="J38" s="40"/>
      <c r="K38" s="34"/>
      <c r="L38" s="35">
        <v>45435</v>
      </c>
      <c r="M38" s="34">
        <v>372286</v>
      </c>
      <c r="N38" s="34">
        <v>463154</v>
      </c>
      <c r="O38" s="34">
        <v>717587</v>
      </c>
      <c r="P38" s="34">
        <v>707489</v>
      </c>
      <c r="Q38" s="34">
        <v>707489</v>
      </c>
    </row>
    <row r="39" spans="1:17" ht="15" customHeight="1">
      <c r="A39" s="41" t="s">
        <v>204</v>
      </c>
      <c r="B39" s="41"/>
      <c r="C39" s="41"/>
      <c r="D39" s="41"/>
      <c r="E39" s="41"/>
      <c r="F39" s="41"/>
      <c r="G39" s="41"/>
      <c r="H39" s="41"/>
    </row>
    <row r="40" spans="1:17" ht="15" customHeight="1">
      <c r="A40" s="18"/>
      <c r="B40" s="19">
        <v>2013</v>
      </c>
      <c r="C40" s="19">
        <v>2014</v>
      </c>
      <c r="D40" s="19">
        <v>2015</v>
      </c>
      <c r="E40" s="19">
        <v>2016</v>
      </c>
      <c r="F40" s="19">
        <v>2017</v>
      </c>
      <c r="G40" s="19">
        <v>2018</v>
      </c>
      <c r="H40" s="19">
        <v>2019</v>
      </c>
    </row>
    <row r="41" spans="1:17" ht="15" customHeight="1">
      <c r="A41" s="42" t="s">
        <v>205</v>
      </c>
      <c r="B41" s="43" t="e">
        <f>+IF(ISNA(VLOOKUP("9.91.00","$#REF!.$P$1:$AA$1048576",6,0)),0,VLOOKUP("9.91.00","$#REF!.$P$1:$AA$1048576",6,0))/1000</f>
        <v>#VALUE!</v>
      </c>
      <c r="C41" s="43" t="e">
        <f>+IF(ISNA(VLOOKUP("9.91.00","$#REF!.$P$1:$AA$1048576",7,0)),0,VLOOKUP("9.91.00","$#REF!.$P$1:$AA$1048576",7,0))/1000</f>
        <v>#VALUE!</v>
      </c>
      <c r="D41" s="43" t="e">
        <f>+IF(ISNA(VLOOKUP("9.91.00","$#REF!.$P$1:$AA$1048576",8,0)),0,VLOOKUP("9.91.00","$#REF!.$P$1:$AA$1048576",8,0))/1000</f>
        <v>#VALUE!</v>
      </c>
      <c r="E41" s="43" t="e">
        <f>+IF(ISNA(VLOOKUP("9.91.00","$#REF!.$P$1:$AA$1048576",9,0)),0,VLOOKUP("9.91.00","$#REF!.$P$1:$AA$1048576",9,0))/1000</f>
        <v>#VALUE!</v>
      </c>
      <c r="F41" s="43" t="e">
        <f>+IF(ISNA(VLOOKUP("9.91.00","$#REF!.$P$1:$AA$1048576",10,0)),0,VLOOKUP("9.91.00","$#REF!.$P$1:$AA$1048576",10,0))/1000</f>
        <v>#VALUE!</v>
      </c>
      <c r="G41" s="43" t="e">
        <f>+IF(ISNA(VLOOKUP("9.91.00","$#REF!.$P$1:$AA$1048576",11,0)),0,VLOOKUP("9.91.00","$#REF!.$P$1:$AA$1048576",11,0))/1000</f>
        <v>#VALUE!</v>
      </c>
      <c r="H41" s="43" t="e">
        <f>+IF(ISNA(VLOOKUP("9.91.00","$#REF!.$P$1:$AA$1048576",12,0)),0,VLOOKUP("9.91.00","$#REF!.$P$1:$AA$1048576",12,0))/1000</f>
        <v>#VALUE!</v>
      </c>
    </row>
    <row r="42" spans="1:17" ht="15" customHeight="1">
      <c r="A42" s="44" t="s">
        <v>206</v>
      </c>
      <c r="B42" s="45" t="e">
        <f t="shared" ref="B42:H42" si="8">SUM(B41:B41)</f>
        <v>#VALUE!</v>
      </c>
      <c r="C42" s="45" t="e">
        <f t="shared" si="8"/>
        <v>#VALUE!</v>
      </c>
      <c r="D42" s="45" t="e">
        <f t="shared" si="8"/>
        <v>#VALUE!</v>
      </c>
      <c r="E42" s="45" t="e">
        <f t="shared" si="8"/>
        <v>#VALUE!</v>
      </c>
      <c r="F42" s="45" t="e">
        <f t="shared" si="8"/>
        <v>#VALUE!</v>
      </c>
      <c r="G42" s="45" t="e">
        <f t="shared" si="8"/>
        <v>#VALUE!</v>
      </c>
      <c r="H42" s="45" t="e">
        <f t="shared" si="8"/>
        <v>#VALUE!</v>
      </c>
    </row>
    <row r="43" spans="1:17" ht="15" customHeight="1">
      <c r="A43" s="38"/>
      <c r="B43" s="39"/>
      <c r="C43" s="39"/>
      <c r="D43" s="39"/>
      <c r="E43" s="38"/>
      <c r="F43" s="38"/>
      <c r="G43" s="38"/>
      <c r="H43" s="38"/>
      <c r="I43" s="40"/>
      <c r="J43" s="40"/>
      <c r="K43" s="40"/>
      <c r="L43" s="40"/>
    </row>
    <row r="44" spans="1:17" ht="28.5" customHeight="1">
      <c r="A44" s="118" t="s">
        <v>207</v>
      </c>
      <c r="B44" s="118"/>
      <c r="C44" s="118"/>
      <c r="D44" s="118"/>
      <c r="E44" s="118"/>
      <c r="F44" s="118"/>
      <c r="G44" s="118"/>
      <c r="H44" s="118"/>
    </row>
    <row r="46" spans="1:17">
      <c r="B46" s="40" t="e">
        <f t="shared" ref="B46:H46" si="9">"#REF!#REF!"+B37+"$#REF!$#REF!"</f>
        <v>#VALUE!</v>
      </c>
      <c r="C46" s="40" t="e">
        <f t="shared" si="9"/>
        <v>#VALUE!</v>
      </c>
      <c r="D46" s="40" t="e">
        <f t="shared" si="9"/>
        <v>#VALUE!</v>
      </c>
      <c r="E46" s="40" t="e">
        <f t="shared" si="9"/>
        <v>#VALUE!</v>
      </c>
      <c r="F46" s="40" t="e">
        <f t="shared" si="9"/>
        <v>#VALUE!</v>
      </c>
      <c r="G46" s="40" t="e">
        <f t="shared" si="9"/>
        <v>#VALUE!</v>
      </c>
      <c r="H46" s="40" t="e">
        <f t="shared" si="9"/>
        <v>#VALUE!</v>
      </c>
    </row>
    <row r="47" spans="1:17">
      <c r="A47" s="46"/>
      <c r="B47" s="40" t="e">
        <f t="shared" ref="B47:H47" si="10">"#REF!#REF!"+B42+"$#REF!$#REF!"</f>
        <v>#VALUE!</v>
      </c>
      <c r="C47" s="40" t="e">
        <f t="shared" si="10"/>
        <v>#VALUE!</v>
      </c>
      <c r="D47" s="40" t="e">
        <f t="shared" si="10"/>
        <v>#VALUE!</v>
      </c>
      <c r="E47" s="40" t="e">
        <f t="shared" si="10"/>
        <v>#VALUE!</v>
      </c>
      <c r="F47" s="40" t="e">
        <f t="shared" si="10"/>
        <v>#VALUE!</v>
      </c>
      <c r="G47" s="40" t="e">
        <f t="shared" si="10"/>
        <v>#VALUE!</v>
      </c>
      <c r="H47" s="40" t="e">
        <f t="shared" si="10"/>
        <v>#VALUE!</v>
      </c>
    </row>
    <row r="48" spans="1:17">
      <c r="B48" s="40" t="e">
        <f t="shared" ref="B48:H48" si="11">B46-B47</f>
        <v>#VALUE!</v>
      </c>
      <c r="C48" s="40" t="e">
        <f t="shared" si="11"/>
        <v>#VALUE!</v>
      </c>
      <c r="D48" s="40" t="e">
        <f t="shared" si="11"/>
        <v>#VALUE!</v>
      </c>
      <c r="E48" s="40" t="e">
        <f t="shared" si="11"/>
        <v>#VALUE!</v>
      </c>
      <c r="F48" s="40" t="e">
        <f t="shared" si="11"/>
        <v>#VALUE!</v>
      </c>
      <c r="G48" s="40" t="e">
        <f t="shared" si="11"/>
        <v>#VALUE!</v>
      </c>
      <c r="H48" s="40" t="e">
        <f t="shared" si="11"/>
        <v>#VALUE!</v>
      </c>
    </row>
    <row r="49" spans="2:8">
      <c r="B49" s="47" t="s">
        <v>208</v>
      </c>
      <c r="C49" s="47" t="s">
        <v>208</v>
      </c>
      <c r="D49" s="48"/>
      <c r="E49" s="48"/>
      <c r="F49" s="48"/>
      <c r="G49" s="48"/>
      <c r="H49" s="48"/>
    </row>
    <row r="50" spans="2:8">
      <c r="B50" s="47"/>
      <c r="C50" s="47"/>
      <c r="D50" s="48"/>
      <c r="E50" s="48"/>
      <c r="F50" s="48"/>
      <c r="G50" s="48"/>
      <c r="H50" s="48"/>
    </row>
    <row r="51" spans="2:8">
      <c r="B51" s="49"/>
      <c r="C51" s="49"/>
      <c r="D51" s="49"/>
      <c r="E51" s="49"/>
      <c r="F51" s="49"/>
      <c r="G51" s="49"/>
      <c r="H51" s="49"/>
    </row>
    <row r="52" spans="2:8" s="50" customFormat="1">
      <c r="B52" s="49"/>
      <c r="C52" s="51"/>
      <c r="D52" s="51"/>
      <c r="E52" s="52"/>
      <c r="G52" s="52"/>
      <c r="H52" s="52"/>
    </row>
    <row r="53" spans="2:8">
      <c r="B53" s="49"/>
      <c r="C53" s="53"/>
      <c r="D53" s="53"/>
    </row>
    <row r="56" spans="2:8">
      <c r="B56" s="40"/>
      <c r="C56" s="40"/>
      <c r="D56" s="40"/>
    </row>
    <row r="57" spans="2:8">
      <c r="B57" s="40"/>
      <c r="C57" s="40"/>
      <c r="D57" s="40"/>
      <c r="E57" s="40"/>
      <c r="F57" s="40"/>
      <c r="G57" s="40"/>
      <c r="H57" s="40"/>
    </row>
    <row r="58" spans="2:8">
      <c r="B58" s="40"/>
      <c r="C58" s="40"/>
      <c r="D58" s="40"/>
    </row>
    <row r="59" spans="2:8">
      <c r="B59" s="40"/>
      <c r="C59" s="40"/>
      <c r="D59" s="40"/>
      <c r="E59" s="40"/>
      <c r="F59" s="40"/>
      <c r="G59" s="40"/>
      <c r="H59" s="40"/>
    </row>
  </sheetData>
  <sheetProtection selectLockedCells="1" selectUnlockedCells="1"/>
  <mergeCells count="1">
    <mergeCell ref="A44:H44"/>
  </mergeCells>
  <pageMargins left="0.11805555555555555" right="0.11805555555555555" top="0.15763888888888888" bottom="0" header="0.51180555555555551" footer="0.51180555555555551"/>
  <pageSetup paperSize="8" scale="65"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18"/>
  <sheetViews>
    <sheetView workbookViewId="0"/>
  </sheetViews>
  <sheetFormatPr defaultRowHeight="11.25"/>
  <cols>
    <col min="1" max="1" width="57.7109375" style="54" customWidth="1"/>
    <col min="2" max="16384" width="9.140625" style="54"/>
  </cols>
  <sheetData>
    <row r="1" spans="1:1" ht="15">
      <c r="A1" s="55" t="s">
        <v>209</v>
      </c>
    </row>
    <row r="3" spans="1:1" ht="12.75">
      <c r="A3" s="56" t="s">
        <v>210</v>
      </c>
    </row>
    <row r="4" spans="1:1">
      <c r="A4" s="54" t="s">
        <v>211</v>
      </c>
    </row>
    <row r="5" spans="1:1">
      <c r="A5" s="54" t="s">
        <v>212</v>
      </c>
    </row>
    <row r="6" spans="1:1">
      <c r="A6" s="54" t="s">
        <v>213</v>
      </c>
    </row>
    <row r="7" spans="1:1">
      <c r="A7" s="54" t="s">
        <v>214</v>
      </c>
    </row>
    <row r="8" spans="1:1">
      <c r="A8" s="54" t="s">
        <v>215</v>
      </c>
    </row>
    <row r="9" spans="1:1">
      <c r="A9" s="54" t="s">
        <v>216</v>
      </c>
    </row>
    <row r="10" spans="1:1">
      <c r="A10" s="54" t="s">
        <v>217</v>
      </c>
    </row>
    <row r="11" spans="1:1">
      <c r="A11" s="54" t="s">
        <v>186</v>
      </c>
    </row>
    <row r="12" spans="1:1">
      <c r="A12" s="54" t="s">
        <v>218</v>
      </c>
    </row>
    <row r="13" spans="1:1">
      <c r="A13" s="54" t="s">
        <v>190</v>
      </c>
    </row>
    <row r="14" spans="1:1">
      <c r="A14" s="54" t="s">
        <v>219</v>
      </c>
    </row>
    <row r="15" spans="1:1">
      <c r="A15" s="54" t="s">
        <v>220</v>
      </c>
    </row>
    <row r="16" spans="1:1">
      <c r="A16" s="54" t="s">
        <v>221</v>
      </c>
    </row>
    <row r="17" spans="1:1">
      <c r="A17" s="54" t="s">
        <v>198</v>
      </c>
    </row>
    <row r="18" spans="1:1">
      <c r="A18" s="54" t="s">
        <v>222</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tabColor indexed="21"/>
  </sheetPr>
  <dimension ref="A1:H7"/>
  <sheetViews>
    <sheetView workbookViewId="0">
      <selection activeCell="C3" sqref="C3"/>
    </sheetView>
  </sheetViews>
  <sheetFormatPr defaultRowHeight="15"/>
  <cols>
    <col min="1" max="1" width="45.140625" customWidth="1"/>
  </cols>
  <sheetData>
    <row r="1" spans="1:8" ht="15" customHeight="1">
      <c r="A1" s="119" t="s">
        <v>223</v>
      </c>
      <c r="B1" s="119"/>
      <c r="C1" s="119"/>
      <c r="D1" s="119"/>
      <c r="E1" s="119"/>
      <c r="F1" s="119"/>
      <c r="G1" s="119"/>
      <c r="H1" s="119"/>
    </row>
    <row r="2" spans="1:8">
      <c r="A2" s="57" t="s">
        <v>224</v>
      </c>
      <c r="B2" s="58">
        <v>2014</v>
      </c>
      <c r="C2" s="58">
        <v>2015</v>
      </c>
      <c r="D2" s="58">
        <v>2016</v>
      </c>
      <c r="E2" s="58">
        <v>2017</v>
      </c>
      <c r="F2" s="58">
        <v>2018</v>
      </c>
      <c r="G2" s="58">
        <v>2019</v>
      </c>
      <c r="H2" s="58">
        <v>2020</v>
      </c>
    </row>
    <row r="3" spans="1:8">
      <c r="A3" s="59" t="s">
        <v>225</v>
      </c>
      <c r="B3" s="60">
        <v>28107.532999999999</v>
      </c>
      <c r="C3" s="60">
        <v>19456.22</v>
      </c>
      <c r="D3" s="60">
        <v>19147.346000000001</v>
      </c>
      <c r="E3" s="60">
        <v>19310.502</v>
      </c>
      <c r="F3" s="60">
        <v>19900.183000000001</v>
      </c>
      <c r="G3" s="60">
        <v>20838.350999999999</v>
      </c>
      <c r="H3" s="60">
        <v>20838.350999999999</v>
      </c>
    </row>
    <row r="4" spans="1:8">
      <c r="A4" s="61" t="s">
        <v>226</v>
      </c>
      <c r="B4" s="62">
        <v>-267.32100000000003</v>
      </c>
      <c r="C4" s="62">
        <v>352.10500000000002</v>
      </c>
      <c r="D4" s="62">
        <v>336.63049999999998</v>
      </c>
      <c r="E4" s="62">
        <v>209.40299999999999</v>
      </c>
      <c r="F4" s="62">
        <v>285.214</v>
      </c>
      <c r="G4" s="62">
        <v>200.82599999999999</v>
      </c>
      <c r="H4" s="62">
        <v>160.947</v>
      </c>
    </row>
    <row r="5" spans="1:8">
      <c r="A5" s="61" t="s">
        <v>227</v>
      </c>
      <c r="B5" s="62">
        <v>-3.5242919693701002E-12</v>
      </c>
      <c r="C5" s="62">
        <v>42.399999999997398</v>
      </c>
      <c r="D5" s="62">
        <v>415.02150000000199</v>
      </c>
      <c r="E5" s="62">
        <v>212.30000000000501</v>
      </c>
      <c r="F5" s="62">
        <v>208.200000000004</v>
      </c>
      <c r="G5" s="62">
        <v>215.8</v>
      </c>
      <c r="H5" s="62">
        <v>1261.211</v>
      </c>
    </row>
    <row r="6" spans="1:8">
      <c r="A6" s="63" t="s">
        <v>228</v>
      </c>
      <c r="B6" s="64">
        <v>27840.212</v>
      </c>
      <c r="C6" s="64">
        <v>19850.724999999999</v>
      </c>
      <c r="D6" s="64">
        <v>19898.998</v>
      </c>
      <c r="E6" s="64">
        <v>19732.205000000002</v>
      </c>
      <c r="F6" s="64">
        <v>20393.597000000002</v>
      </c>
      <c r="G6" s="64">
        <v>21254.976999999999</v>
      </c>
      <c r="H6" s="64">
        <v>22260.508999999998</v>
      </c>
    </row>
    <row r="7" spans="1:8" ht="15" customHeight="1">
      <c r="A7" s="120" t="s">
        <v>229</v>
      </c>
      <c r="B7" s="120"/>
      <c r="C7" s="120"/>
      <c r="D7" s="120"/>
      <c r="E7" s="120"/>
      <c r="F7" s="120"/>
      <c r="G7" s="120"/>
      <c r="H7" s="120"/>
    </row>
  </sheetData>
  <sheetProtection selectLockedCells="1" selectUnlockedCells="1"/>
  <mergeCells count="2">
    <mergeCell ref="A1:H1"/>
    <mergeCell ref="A7:H7"/>
  </mergeCell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sheetPr>
    <tabColor indexed="21"/>
  </sheetPr>
  <dimension ref="A1:J7"/>
  <sheetViews>
    <sheetView zoomScale="90" zoomScaleNormal="90" workbookViewId="0">
      <selection activeCell="F13" sqref="F13"/>
    </sheetView>
  </sheetViews>
  <sheetFormatPr defaultRowHeight="16.5" customHeight="1"/>
  <cols>
    <col min="1" max="1" width="37.42578125" style="14" customWidth="1"/>
    <col min="2" max="2" width="14.85546875" style="14" customWidth="1"/>
    <col min="3" max="3" width="9" style="14" customWidth="1"/>
    <col min="4" max="8" width="9.85546875" style="14" customWidth="1"/>
    <col min="9" max="16384" width="9.140625" style="14"/>
  </cols>
  <sheetData>
    <row r="1" spans="1:10" ht="16.5" customHeight="1">
      <c r="A1" s="119" t="s">
        <v>230</v>
      </c>
      <c r="B1" s="119"/>
      <c r="C1" s="119"/>
      <c r="D1" s="119"/>
      <c r="E1" s="119"/>
      <c r="F1" s="119"/>
      <c r="G1" s="119"/>
      <c r="H1" s="119"/>
      <c r="J1" s="65"/>
    </row>
    <row r="2" spans="1:10" ht="16.5" customHeight="1">
      <c r="A2" s="57" t="s">
        <v>231</v>
      </c>
      <c r="B2" s="58">
        <v>2014</v>
      </c>
      <c r="C2" s="58">
        <v>2015</v>
      </c>
      <c r="D2" s="58">
        <v>2016</v>
      </c>
      <c r="E2" s="58">
        <v>2017</v>
      </c>
      <c r="F2" s="58">
        <v>2018</v>
      </c>
      <c r="G2" s="58">
        <v>2019</v>
      </c>
      <c r="H2" s="58">
        <v>2020</v>
      </c>
    </row>
    <row r="3" spans="1:10" ht="16.5" customHeight="1">
      <c r="A3" s="59" t="s">
        <v>225</v>
      </c>
      <c r="B3" s="60">
        <v>1985.0129999999999</v>
      </c>
      <c r="C3" s="60">
        <v>1737.279</v>
      </c>
      <c r="D3" s="60">
        <v>1675.979</v>
      </c>
      <c r="E3" s="60">
        <v>1651.8789999999999</v>
      </c>
      <c r="F3" s="60">
        <v>1655.1590000000001</v>
      </c>
      <c r="G3" s="60">
        <v>1715.029</v>
      </c>
      <c r="H3" s="60">
        <v>1715.029</v>
      </c>
    </row>
    <row r="4" spans="1:10" ht="16.5" customHeight="1">
      <c r="A4" s="61" t="s">
        <v>232</v>
      </c>
      <c r="B4" s="62">
        <v>9.5719999999999992</v>
      </c>
      <c r="C4" s="62">
        <v>154</v>
      </c>
      <c r="D4" s="62">
        <v>172</v>
      </c>
      <c r="E4" s="62">
        <v>183</v>
      </c>
      <c r="F4" s="62">
        <v>185</v>
      </c>
      <c r="G4" s="62">
        <v>175</v>
      </c>
      <c r="H4" s="62">
        <v>170</v>
      </c>
    </row>
    <row r="5" spans="1:10" ht="16.5" customHeight="1">
      <c r="A5" s="61" t="s">
        <v>227</v>
      </c>
      <c r="B5" s="62">
        <v>1.1723955140041701E-13</v>
      </c>
      <c r="C5" s="62">
        <v>0</v>
      </c>
      <c r="D5" s="62">
        <v>0</v>
      </c>
      <c r="E5" s="62">
        <v>0</v>
      </c>
      <c r="F5" s="62">
        <v>0</v>
      </c>
      <c r="G5" s="62">
        <v>0</v>
      </c>
      <c r="H5" s="62">
        <v>18.406999999999901</v>
      </c>
    </row>
    <row r="6" spans="1:10" ht="16.5" customHeight="1">
      <c r="A6" s="63" t="s">
        <v>228</v>
      </c>
      <c r="B6" s="64">
        <v>1994.585</v>
      </c>
      <c r="C6" s="64">
        <v>1891.279</v>
      </c>
      <c r="D6" s="64">
        <v>1847.979</v>
      </c>
      <c r="E6" s="64">
        <v>1834.8789999999999</v>
      </c>
      <c r="F6" s="64">
        <v>1840.1590000000001</v>
      </c>
      <c r="G6" s="64">
        <v>1890.029</v>
      </c>
      <c r="H6" s="64">
        <v>1903.4359999999999</v>
      </c>
    </row>
    <row r="7" spans="1:10" ht="16.5" customHeight="1">
      <c r="A7" s="120" t="s">
        <v>233</v>
      </c>
      <c r="B7" s="120"/>
      <c r="C7" s="120"/>
      <c r="D7" s="120"/>
      <c r="E7" s="120"/>
      <c r="F7" s="120"/>
      <c r="G7" s="120"/>
      <c r="H7" s="120"/>
    </row>
  </sheetData>
  <sheetProtection selectLockedCells="1" selectUnlockedCells="1"/>
  <mergeCells count="2">
    <mergeCell ref="A1:H1"/>
    <mergeCell ref="A7:H7"/>
  </mergeCells>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sheetPr>
    <tabColor indexed="21"/>
  </sheetPr>
  <dimension ref="A1:H30"/>
  <sheetViews>
    <sheetView workbookViewId="0">
      <selection activeCell="C35" sqref="C35"/>
    </sheetView>
  </sheetViews>
  <sheetFormatPr defaultRowHeight="12" customHeight="1"/>
  <cols>
    <col min="1" max="1" width="39.7109375" style="14" customWidth="1"/>
    <col min="2" max="2" width="11.28515625" style="14" customWidth="1"/>
    <col min="3" max="8" width="10.7109375" style="14" customWidth="1"/>
    <col min="9" max="9" width="10.140625" style="14" customWidth="1"/>
    <col min="10" max="16384" width="9.140625" style="14"/>
  </cols>
  <sheetData>
    <row r="1" spans="1:8" s="16" customFormat="1" ht="21.75" customHeight="1">
      <c r="A1" s="121" t="s">
        <v>234</v>
      </c>
      <c r="B1" s="121"/>
      <c r="C1" s="121"/>
      <c r="D1" s="121"/>
      <c r="E1" s="121"/>
      <c r="F1" s="121"/>
      <c r="G1" s="121"/>
      <c r="H1" s="121"/>
    </row>
    <row r="2" spans="1:8" ht="12" customHeight="1">
      <c r="A2" s="66"/>
      <c r="B2" s="67">
        <v>2014</v>
      </c>
      <c r="C2" s="68">
        <v>2015</v>
      </c>
      <c r="D2" s="68">
        <v>2016</v>
      </c>
      <c r="E2" s="68">
        <v>2017</v>
      </c>
      <c r="F2" s="68">
        <v>2018</v>
      </c>
      <c r="G2" s="68">
        <v>2019</v>
      </c>
      <c r="H2" s="68">
        <v>2020</v>
      </c>
    </row>
    <row r="3" spans="1:8" ht="12" customHeight="1">
      <c r="A3" s="69" t="s">
        <v>235</v>
      </c>
      <c r="B3" s="70"/>
      <c r="C3" s="71"/>
      <c r="D3" s="71"/>
      <c r="E3" s="71"/>
      <c r="F3" s="71"/>
      <c r="G3" s="71"/>
      <c r="H3" s="71"/>
    </row>
    <row r="4" spans="1:8" ht="12" customHeight="1">
      <c r="A4" s="72"/>
      <c r="B4" s="70"/>
      <c r="C4" s="71"/>
      <c r="D4" s="71"/>
      <c r="E4" s="71"/>
      <c r="F4" s="71"/>
      <c r="G4" s="71"/>
      <c r="H4" s="71"/>
    </row>
    <row r="5" spans="1:8" ht="12" customHeight="1">
      <c r="A5" s="73" t="s">
        <v>236</v>
      </c>
      <c r="B5" s="74">
        <v>21551.083999999999</v>
      </c>
      <c r="C5" s="60">
        <v>16447.112000000001</v>
      </c>
      <c r="D5" s="60">
        <v>16455.026999999998</v>
      </c>
      <c r="E5" s="60">
        <v>16411.184000000001</v>
      </c>
      <c r="F5" s="60">
        <v>16878.912</v>
      </c>
      <c r="G5" s="60">
        <v>16809.909</v>
      </c>
      <c r="H5" s="60">
        <v>16719.742999999999</v>
      </c>
    </row>
    <row r="6" spans="1:8" ht="12" customHeight="1">
      <c r="A6" s="75" t="s">
        <v>214</v>
      </c>
      <c r="B6" s="76">
        <v>8650.67</v>
      </c>
      <c r="C6" s="77">
        <v>8906.1059999999998</v>
      </c>
      <c r="D6" s="77">
        <v>9017.7729999999992</v>
      </c>
      <c r="E6" s="77">
        <v>9069.8179999999993</v>
      </c>
      <c r="F6" s="77">
        <v>9371.6890000000003</v>
      </c>
      <c r="G6" s="77">
        <v>9302.6890000000003</v>
      </c>
      <c r="H6" s="77">
        <v>9231.9159999999993</v>
      </c>
    </row>
    <row r="7" spans="1:8" ht="12" customHeight="1">
      <c r="A7" s="75" t="s">
        <v>215</v>
      </c>
      <c r="B7" s="76">
        <v>5462.1469999999999</v>
      </c>
      <c r="C7" s="77">
        <v>5949.8850000000002</v>
      </c>
      <c r="D7" s="77">
        <v>6126.0379999999996</v>
      </c>
      <c r="E7" s="77">
        <v>6090.1109999999999</v>
      </c>
      <c r="F7" s="77">
        <v>6241.1130000000003</v>
      </c>
      <c r="G7" s="77">
        <v>6241.1130000000003</v>
      </c>
      <c r="H7" s="77">
        <v>6223.192</v>
      </c>
    </row>
    <row r="8" spans="1:8" ht="12" customHeight="1">
      <c r="A8" s="75" t="s">
        <v>216</v>
      </c>
      <c r="B8" s="76">
        <v>1597.95</v>
      </c>
      <c r="C8" s="77">
        <v>484.30599999999998</v>
      </c>
      <c r="D8" s="77">
        <v>369.166</v>
      </c>
      <c r="E8" s="77">
        <v>316.73099999999999</v>
      </c>
      <c r="F8" s="77">
        <v>335.66300000000001</v>
      </c>
      <c r="G8" s="77">
        <v>335.66</v>
      </c>
      <c r="H8" s="77">
        <v>334.18700000000001</v>
      </c>
    </row>
    <row r="9" spans="1:8" ht="12" customHeight="1">
      <c r="A9" s="75" t="s">
        <v>217</v>
      </c>
      <c r="B9" s="78" t="s">
        <v>237</v>
      </c>
      <c r="C9" s="77">
        <v>256.73099999999999</v>
      </c>
      <c r="D9" s="77">
        <v>287.99700000000001</v>
      </c>
      <c r="E9" s="77">
        <v>289.63400000000001</v>
      </c>
      <c r="F9" s="77">
        <v>291.61</v>
      </c>
      <c r="G9" s="77">
        <v>291.61</v>
      </c>
      <c r="H9" s="77">
        <v>291.61</v>
      </c>
    </row>
    <row r="10" spans="1:8" ht="12" customHeight="1">
      <c r="A10" s="75" t="s">
        <v>186</v>
      </c>
      <c r="B10" s="76">
        <v>4457.6109999999999</v>
      </c>
      <c r="C10" s="77">
        <v>720.84</v>
      </c>
      <c r="D10" s="77">
        <v>519.91999999999996</v>
      </c>
      <c r="E10" s="77">
        <v>511.53399999999999</v>
      </c>
      <c r="F10" s="77">
        <v>505.44099999999997</v>
      </c>
      <c r="G10" s="77">
        <v>505.44099999999997</v>
      </c>
      <c r="H10" s="77">
        <v>505.44200000000001</v>
      </c>
    </row>
    <row r="11" spans="1:8" ht="12" customHeight="1">
      <c r="A11" s="75" t="s">
        <v>238</v>
      </c>
      <c r="B11" s="76">
        <v>1382.7059999999999</v>
      </c>
      <c r="C11" s="77">
        <v>129.244</v>
      </c>
      <c r="D11" s="77">
        <v>134.13300000000001</v>
      </c>
      <c r="E11" s="77">
        <v>133.35599999999999</v>
      </c>
      <c r="F11" s="77">
        <v>133.39599999999999</v>
      </c>
      <c r="G11" s="77">
        <v>133.39599999999999</v>
      </c>
      <c r="H11" s="77">
        <v>133.39599999999999</v>
      </c>
    </row>
    <row r="12" spans="1:8" ht="12" customHeight="1">
      <c r="A12" s="75"/>
      <c r="B12" s="78"/>
      <c r="C12" s="77"/>
      <c r="D12" s="77"/>
      <c r="E12" s="77"/>
      <c r="F12" s="77"/>
      <c r="G12" s="77"/>
      <c r="H12" s="77"/>
    </row>
    <row r="13" spans="1:8" ht="12" customHeight="1">
      <c r="A13" s="73" t="s">
        <v>190</v>
      </c>
      <c r="B13" s="74">
        <v>2443.971</v>
      </c>
      <c r="C13" s="79">
        <v>1195.4269999999999</v>
      </c>
      <c r="D13" s="79">
        <v>1346.5029999999999</v>
      </c>
      <c r="E13" s="79">
        <v>1367.27</v>
      </c>
      <c r="F13" s="79">
        <v>1361.1079999999999</v>
      </c>
      <c r="G13" s="79">
        <v>1361.1079999999999</v>
      </c>
      <c r="H13" s="79">
        <v>1361.5550000000001</v>
      </c>
    </row>
    <row r="14" spans="1:8" ht="12" customHeight="1">
      <c r="A14" s="80"/>
      <c r="B14" s="74"/>
      <c r="C14" s="79"/>
      <c r="D14" s="79"/>
      <c r="E14" s="79"/>
      <c r="F14" s="79"/>
      <c r="G14" s="79"/>
      <c r="H14" s="79"/>
    </row>
    <row r="15" spans="1:8" ht="12" customHeight="1">
      <c r="A15" s="73" t="s">
        <v>239</v>
      </c>
      <c r="B15" s="74">
        <v>2409.4450000000002</v>
      </c>
      <c r="C15" s="79">
        <v>2208.1860000000001</v>
      </c>
      <c r="D15" s="79">
        <v>2097.4679999999998</v>
      </c>
      <c r="E15" s="79">
        <v>1953.751</v>
      </c>
      <c r="F15" s="79">
        <v>2153.5770000000002</v>
      </c>
      <c r="G15" s="79">
        <v>3083.96</v>
      </c>
      <c r="H15" s="79">
        <v>4179.2110000000002</v>
      </c>
    </row>
    <row r="16" spans="1:8" ht="12" customHeight="1">
      <c r="A16" s="75" t="s">
        <v>219</v>
      </c>
      <c r="B16" s="76">
        <v>2183.3270000000002</v>
      </c>
      <c r="C16" s="77">
        <v>1433.396</v>
      </c>
      <c r="D16" s="77">
        <v>801.82799999999997</v>
      </c>
      <c r="E16" s="77">
        <v>392.62599999999998</v>
      </c>
      <c r="F16" s="77">
        <v>0</v>
      </c>
      <c r="G16" s="77">
        <v>0</v>
      </c>
      <c r="H16" s="77">
        <v>0</v>
      </c>
    </row>
    <row r="17" spans="1:8" ht="12" customHeight="1">
      <c r="A17" s="75" t="s">
        <v>240</v>
      </c>
      <c r="B17" s="76">
        <v>215.75299999999999</v>
      </c>
      <c r="C17" s="77">
        <v>142.40600000000001</v>
      </c>
      <c r="D17" s="77">
        <v>140.72499999999999</v>
      </c>
      <c r="E17" s="77">
        <v>140.72300000000001</v>
      </c>
      <c r="F17" s="77">
        <v>140.72300000000001</v>
      </c>
      <c r="G17" s="77">
        <v>140.72300000000001</v>
      </c>
      <c r="H17" s="77">
        <v>140.72300000000001</v>
      </c>
    </row>
    <row r="18" spans="1:8" ht="12" customHeight="1">
      <c r="A18" s="75" t="s">
        <v>241</v>
      </c>
      <c r="B18" s="76">
        <v>81.692999999999998</v>
      </c>
      <c r="C18" s="77">
        <v>621.678</v>
      </c>
      <c r="D18" s="77">
        <v>636.17700000000002</v>
      </c>
      <c r="E18" s="77">
        <v>476.72899999999998</v>
      </c>
      <c r="F18" s="77">
        <v>477.07400000000001</v>
      </c>
      <c r="G18" s="77">
        <v>477.07400000000001</v>
      </c>
      <c r="H18" s="77">
        <v>477.07400000000001</v>
      </c>
    </row>
    <row r="19" spans="1:8" ht="12" customHeight="1">
      <c r="A19" s="61" t="s">
        <v>198</v>
      </c>
      <c r="B19" s="76">
        <v>-71.328000000000003</v>
      </c>
      <c r="C19" s="62">
        <v>10.706</v>
      </c>
      <c r="D19" s="62">
        <v>518.73800000000006</v>
      </c>
      <c r="E19" s="62">
        <v>943.673</v>
      </c>
      <c r="F19" s="62">
        <v>1535.78</v>
      </c>
      <c r="G19" s="62">
        <v>2466.163</v>
      </c>
      <c r="H19" s="62">
        <v>3561.4140000000002</v>
      </c>
    </row>
    <row r="20" spans="1:8" ht="12" customHeight="1">
      <c r="A20" s="75"/>
      <c r="B20" s="76"/>
      <c r="C20" s="62"/>
      <c r="D20" s="77"/>
      <c r="E20" s="77"/>
      <c r="F20" s="77"/>
      <c r="G20" s="77"/>
      <c r="H20" s="77"/>
    </row>
    <row r="21" spans="1:8" ht="12" customHeight="1">
      <c r="A21" s="69" t="s">
        <v>242</v>
      </c>
      <c r="B21" s="70"/>
      <c r="C21" s="71"/>
      <c r="D21" s="77"/>
      <c r="E21" s="77"/>
      <c r="F21" s="77"/>
      <c r="G21" s="77"/>
      <c r="H21" s="77"/>
    </row>
    <row r="22" spans="1:8" ht="12" customHeight="1">
      <c r="A22" s="81"/>
      <c r="B22" s="70"/>
      <c r="C22" s="71"/>
      <c r="D22" s="77"/>
      <c r="E22" s="77"/>
      <c r="F22" s="77"/>
      <c r="G22" s="77"/>
      <c r="H22" s="77"/>
    </row>
    <row r="23" spans="1:8" ht="12" customHeight="1">
      <c r="A23" s="75" t="s">
        <v>180</v>
      </c>
      <c r="B23" s="76">
        <v>92.441999999999993</v>
      </c>
      <c r="C23" s="82" t="s">
        <v>237</v>
      </c>
      <c r="D23" s="82" t="s">
        <v>237</v>
      </c>
      <c r="E23" s="82" t="s">
        <v>237</v>
      </c>
      <c r="F23" s="82" t="s">
        <v>237</v>
      </c>
      <c r="G23" s="82" t="s">
        <v>237</v>
      </c>
      <c r="H23" s="82" t="s">
        <v>237</v>
      </c>
    </row>
    <row r="24" spans="1:8" ht="12" customHeight="1">
      <c r="A24" s="75" t="s">
        <v>187</v>
      </c>
      <c r="B24" s="76">
        <v>1162.789</v>
      </c>
      <c r="C24" s="82" t="s">
        <v>237</v>
      </c>
      <c r="D24" s="82" t="s">
        <v>237</v>
      </c>
      <c r="E24" s="82" t="s">
        <v>237</v>
      </c>
      <c r="F24" s="82" t="s">
        <v>237</v>
      </c>
      <c r="G24" s="82" t="s">
        <v>237</v>
      </c>
      <c r="H24" s="82" t="s">
        <v>237</v>
      </c>
    </row>
    <row r="25" spans="1:8" ht="12" customHeight="1">
      <c r="A25" s="75" t="s">
        <v>191</v>
      </c>
      <c r="B25" s="76">
        <v>180.48099999999999</v>
      </c>
      <c r="C25" s="82" t="s">
        <v>237</v>
      </c>
      <c r="D25" s="82" t="s">
        <v>237</v>
      </c>
      <c r="E25" s="82" t="s">
        <v>237</v>
      </c>
      <c r="F25" s="82" t="s">
        <v>237</v>
      </c>
      <c r="G25" s="82" t="s">
        <v>237</v>
      </c>
      <c r="H25" s="82" t="s">
        <v>237</v>
      </c>
    </row>
    <row r="26" spans="1:8" ht="12" customHeight="1">
      <c r="A26" s="63" t="s">
        <v>243</v>
      </c>
      <c r="B26" s="83">
        <v>27840.212</v>
      </c>
      <c r="C26" s="64">
        <v>19850.724999999999</v>
      </c>
      <c r="D26" s="64">
        <v>19898.998</v>
      </c>
      <c r="E26" s="64">
        <v>19732.205000000002</v>
      </c>
      <c r="F26" s="64">
        <v>20393.597000000002</v>
      </c>
      <c r="G26" s="64">
        <v>21254.976999999999</v>
      </c>
      <c r="H26" s="64">
        <v>22260.508999999998</v>
      </c>
    </row>
    <row r="27" spans="1:8" ht="12" customHeight="1">
      <c r="A27" s="84" t="s">
        <v>244</v>
      </c>
      <c r="B27" s="85">
        <v>1994.585</v>
      </c>
      <c r="C27" s="86">
        <v>1891.279</v>
      </c>
      <c r="D27" s="86">
        <v>1847.979</v>
      </c>
      <c r="E27" s="86">
        <v>1834.8789999999999</v>
      </c>
      <c r="F27" s="86">
        <v>1840.1590000000001</v>
      </c>
      <c r="G27" s="86">
        <v>1890.029</v>
      </c>
      <c r="H27" s="86">
        <v>1903.4359999999999</v>
      </c>
    </row>
    <row r="28" spans="1:8" ht="12" customHeight="1">
      <c r="A28" s="87" t="s">
        <v>245</v>
      </c>
      <c r="B28" s="88">
        <v>25845.627</v>
      </c>
      <c r="C28" s="89">
        <v>17959.446</v>
      </c>
      <c r="D28" s="89">
        <v>18051.019</v>
      </c>
      <c r="E28" s="89">
        <v>17897.326000000001</v>
      </c>
      <c r="F28" s="89">
        <v>18553.437999999998</v>
      </c>
      <c r="G28" s="89">
        <v>19364.948</v>
      </c>
      <c r="H28" s="89">
        <v>20357.073</v>
      </c>
    </row>
    <row r="29" spans="1:8" ht="26.25" customHeight="1">
      <c r="A29" s="122" t="s">
        <v>246</v>
      </c>
      <c r="B29" s="122"/>
      <c r="C29" s="122"/>
      <c r="D29" s="122"/>
      <c r="E29" s="122"/>
      <c r="F29" s="122"/>
      <c r="G29" s="122"/>
      <c r="H29" s="122"/>
    </row>
    <row r="30" spans="1:8" ht="40.5" customHeight="1">
      <c r="A30" s="123" t="s">
        <v>247</v>
      </c>
      <c r="B30" s="123"/>
      <c r="C30" s="123"/>
      <c r="D30" s="123"/>
      <c r="E30" s="123"/>
      <c r="F30" s="123"/>
      <c r="G30" s="123"/>
      <c r="H30" s="123"/>
    </row>
  </sheetData>
  <sheetProtection selectLockedCells="1" selectUnlockedCells="1"/>
  <mergeCells count="3">
    <mergeCell ref="A1:H1"/>
    <mergeCell ref="A29:H29"/>
    <mergeCell ref="A30:H30"/>
  </mergeCells>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sheetPr>
    <tabColor indexed="21"/>
  </sheetPr>
  <dimension ref="A1:R32"/>
  <sheetViews>
    <sheetView topLeftCell="A49" workbookViewId="0">
      <selection activeCell="A33" sqref="A33"/>
    </sheetView>
  </sheetViews>
  <sheetFormatPr defaultRowHeight="10.5"/>
  <cols>
    <col min="1" max="1" width="34.7109375" style="14" customWidth="1"/>
    <col min="2" max="3" width="10.140625" style="14" customWidth="1"/>
    <col min="4" max="8" width="10.5703125" style="14" customWidth="1"/>
    <col min="9" max="9" width="6.85546875" style="14" customWidth="1"/>
    <col min="10" max="10" width="15.42578125" style="14" customWidth="1"/>
    <col min="11" max="11" width="9.140625" style="14"/>
    <col min="12" max="12" width="9.85546875" style="14" customWidth="1"/>
    <col min="13" max="16384" width="9.140625" style="14"/>
  </cols>
  <sheetData>
    <row r="1" spans="1:18" ht="18" customHeight="1">
      <c r="A1" s="119" t="s">
        <v>248</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8847.0349999999999</v>
      </c>
      <c r="C3" s="91">
        <v>8857</v>
      </c>
      <c r="D3" s="91">
        <v>9273</v>
      </c>
      <c r="E3" s="91">
        <v>9210</v>
      </c>
      <c r="F3" s="91">
        <v>9445</v>
      </c>
      <c r="G3" s="91">
        <v>9445</v>
      </c>
      <c r="H3" s="91">
        <v>9445</v>
      </c>
      <c r="J3" s="90"/>
      <c r="L3" s="90"/>
      <c r="M3" s="90"/>
      <c r="N3" s="90"/>
      <c r="O3" s="90"/>
      <c r="P3" s="90"/>
      <c r="Q3" s="90"/>
      <c r="R3" s="90"/>
    </row>
    <row r="4" spans="1:18">
      <c r="A4" s="61" t="s">
        <v>249</v>
      </c>
      <c r="B4" s="92">
        <v>-196.36500000000001</v>
      </c>
      <c r="C4" s="92"/>
      <c r="D4" s="92"/>
      <c r="E4" s="92"/>
      <c r="F4" s="92"/>
      <c r="G4" s="92"/>
      <c r="H4" s="92"/>
      <c r="L4" s="90"/>
      <c r="M4" s="90"/>
      <c r="N4" s="90"/>
      <c r="O4" s="90"/>
      <c r="P4" s="90"/>
      <c r="Q4" s="90"/>
      <c r="R4" s="90"/>
    </row>
    <row r="5" spans="1:18" ht="11.25">
      <c r="A5" s="61" t="s">
        <v>250</v>
      </c>
      <c r="B5" s="92">
        <v>0</v>
      </c>
      <c r="C5" s="92">
        <v>69.956000000000003</v>
      </c>
      <c r="D5" s="92">
        <v>207.75800000000001</v>
      </c>
      <c r="E5" s="92">
        <v>350.80799999999999</v>
      </c>
      <c r="F5" s="92">
        <v>428.78199999999998</v>
      </c>
      <c r="G5" s="92">
        <v>359.78199999999998</v>
      </c>
      <c r="H5" s="92">
        <v>324.08999999999997</v>
      </c>
      <c r="L5" s="90"/>
      <c r="M5" s="90"/>
      <c r="N5" s="90"/>
      <c r="O5" s="90"/>
      <c r="P5" s="90"/>
      <c r="Q5" s="90"/>
      <c r="R5" s="90"/>
    </row>
    <row r="6" spans="1:18">
      <c r="A6" s="61" t="s">
        <v>227</v>
      </c>
      <c r="B6" s="92">
        <v>2.2737367544323201E-13</v>
      </c>
      <c r="C6" s="92">
        <v>-20.8500000000002</v>
      </c>
      <c r="D6" s="92">
        <v>-462.98500000000098</v>
      </c>
      <c r="E6" s="92">
        <v>-490.99000000000098</v>
      </c>
      <c r="F6" s="92">
        <v>-502.09300000000002</v>
      </c>
      <c r="G6" s="92">
        <v>-502.09300000000002</v>
      </c>
      <c r="H6" s="92">
        <v>-537.17399999999895</v>
      </c>
    </row>
    <row r="7" spans="1:18">
      <c r="A7" s="63" t="s">
        <v>228</v>
      </c>
      <c r="B7" s="93">
        <v>8650.67</v>
      </c>
      <c r="C7" s="93">
        <v>8906.1059999999998</v>
      </c>
      <c r="D7" s="93">
        <v>9017.7729999999992</v>
      </c>
      <c r="E7" s="93">
        <v>9069.8179999999993</v>
      </c>
      <c r="F7" s="93">
        <v>9371.6890000000003</v>
      </c>
      <c r="G7" s="93">
        <v>9302.6890000000003</v>
      </c>
      <c r="H7" s="93">
        <v>9231.9159999999993</v>
      </c>
    </row>
    <row r="8" spans="1:18">
      <c r="A8" s="59"/>
      <c r="B8" s="91"/>
      <c r="C8" s="91"/>
      <c r="D8" s="91"/>
      <c r="E8" s="91"/>
      <c r="F8" s="91"/>
      <c r="G8" s="91"/>
      <c r="H8" s="91"/>
    </row>
    <row r="9" spans="1:18" ht="10.5" customHeight="1">
      <c r="A9" s="124" t="s">
        <v>251</v>
      </c>
      <c r="B9" s="124"/>
      <c r="C9" s="124"/>
      <c r="D9" s="124"/>
      <c r="E9" s="124"/>
      <c r="F9" s="124"/>
      <c r="G9" s="124"/>
      <c r="H9" s="124"/>
    </row>
    <row r="10" spans="1:18">
      <c r="A10" s="80"/>
      <c r="B10" s="77"/>
      <c r="C10" s="77"/>
      <c r="D10" s="77"/>
      <c r="E10" s="77"/>
      <c r="F10" s="77"/>
      <c r="G10" s="77"/>
      <c r="H10" s="77"/>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254</v>
      </c>
      <c r="B15" s="77"/>
      <c r="C15" s="77"/>
      <c r="D15" s="95">
        <v>-444.58499999999998</v>
      </c>
      <c r="E15" s="95">
        <f>-444.585-11.104</f>
        <v>-455.68899999999996</v>
      </c>
      <c r="F15" s="95">
        <f>-444.585-22.209</f>
        <v>-466.79399999999998</v>
      </c>
      <c r="G15" s="95">
        <f>-444.585-22.209</f>
        <v>-466.79399999999998</v>
      </c>
      <c r="H15" s="95">
        <f>-444.585-22.209</f>
        <v>-466.79399999999998</v>
      </c>
    </row>
    <row r="16" spans="1:18" ht="57.75" customHeight="1">
      <c r="A16" s="96" t="s">
        <v>255</v>
      </c>
      <c r="B16" s="77"/>
      <c r="C16" s="77"/>
      <c r="D16" s="95"/>
      <c r="E16" s="95"/>
      <c r="F16" s="95"/>
      <c r="G16" s="95"/>
      <c r="H16" s="95"/>
    </row>
    <row r="17" spans="1:8">
      <c r="A17" s="80"/>
      <c r="B17" s="77"/>
      <c r="C17" s="77"/>
      <c r="D17" s="77"/>
      <c r="E17" s="77"/>
      <c r="F17" s="77"/>
      <c r="G17" s="77"/>
      <c r="H17" s="77"/>
    </row>
    <row r="18" spans="1:8" s="97" customFormat="1">
      <c r="A18" s="94" t="s">
        <v>256</v>
      </c>
      <c r="B18" s="95"/>
      <c r="C18" s="95">
        <v>-6.75</v>
      </c>
      <c r="D18" s="95">
        <v>-10</v>
      </c>
      <c r="E18" s="95"/>
      <c r="F18" s="95"/>
      <c r="G18" s="95"/>
      <c r="H18" s="95"/>
    </row>
    <row r="19" spans="1:8" ht="73.5">
      <c r="A19" s="96" t="s">
        <v>257</v>
      </c>
      <c r="B19" s="77"/>
      <c r="C19" s="77"/>
      <c r="D19" s="77"/>
      <c r="E19" s="77"/>
      <c r="F19" s="77"/>
      <c r="G19" s="77"/>
      <c r="H19" s="77"/>
    </row>
    <row r="20" spans="1:8">
      <c r="A20" s="96"/>
      <c r="B20" s="77"/>
      <c r="C20" s="77"/>
      <c r="D20" s="77"/>
      <c r="E20" s="77"/>
      <c r="F20" s="77"/>
      <c r="G20" s="77"/>
      <c r="H20" s="77"/>
    </row>
    <row r="21" spans="1:8" s="97" customFormat="1">
      <c r="A21" s="94" t="s">
        <v>258</v>
      </c>
      <c r="B21" s="95"/>
      <c r="C21" s="98">
        <v>-14.1</v>
      </c>
      <c r="D21" s="99">
        <v>-18.3</v>
      </c>
      <c r="E21" s="98">
        <v>-18.3</v>
      </c>
      <c r="F21" s="98">
        <v>-18.3</v>
      </c>
      <c r="G21" s="98">
        <v>-18.3</v>
      </c>
      <c r="H21" s="98">
        <v>-18.3</v>
      </c>
    </row>
    <row r="22" spans="1:8" s="97" customFormat="1" ht="63">
      <c r="A22" s="96" t="s">
        <v>259</v>
      </c>
      <c r="B22" s="95"/>
      <c r="C22" s="95"/>
      <c r="D22" s="95"/>
      <c r="E22" s="95"/>
      <c r="F22" s="95"/>
      <c r="G22" s="95"/>
      <c r="H22" s="95"/>
    </row>
    <row r="23" spans="1:8" s="97" customFormat="1">
      <c r="A23" s="94"/>
      <c r="B23" s="95"/>
      <c r="C23" s="95"/>
      <c r="D23" s="95"/>
      <c r="E23" s="95"/>
      <c r="F23" s="95"/>
      <c r="G23" s="95"/>
      <c r="H23" s="95"/>
    </row>
    <row r="24" spans="1:8" s="97" customFormat="1">
      <c r="A24" s="94" t="s">
        <v>260</v>
      </c>
      <c r="B24" s="95"/>
      <c r="C24" s="95"/>
      <c r="D24" s="95">
        <v>26.9</v>
      </c>
      <c r="E24" s="95"/>
      <c r="F24" s="95"/>
      <c r="G24" s="95"/>
      <c r="H24" s="95"/>
    </row>
    <row r="25" spans="1:8" s="97" customFormat="1" ht="42">
      <c r="A25" s="96" t="s">
        <v>261</v>
      </c>
      <c r="B25" s="95"/>
      <c r="C25" s="95"/>
      <c r="D25" s="95"/>
      <c r="E25" s="95"/>
      <c r="F25" s="95"/>
      <c r="G25" s="95"/>
      <c r="H25" s="95"/>
    </row>
    <row r="26" spans="1:8">
      <c r="A26" s="75"/>
      <c r="B26" s="77"/>
      <c r="C26" s="77"/>
      <c r="D26" s="77"/>
      <c r="E26" s="77"/>
      <c r="F26" s="77"/>
      <c r="G26" s="77"/>
      <c r="H26" s="77"/>
    </row>
    <row r="27" spans="1:8" s="97" customFormat="1">
      <c r="A27" s="94" t="s">
        <v>262</v>
      </c>
      <c r="B27" s="95"/>
      <c r="C27" s="95"/>
      <c r="D27" s="95">
        <v>-17</v>
      </c>
      <c r="E27" s="95">
        <v>-17</v>
      </c>
      <c r="F27" s="95">
        <v>-17</v>
      </c>
      <c r="G27" s="95">
        <v>-17</v>
      </c>
      <c r="H27" s="95">
        <v>-17</v>
      </c>
    </row>
    <row r="28" spans="1:8" ht="42">
      <c r="A28" s="96" t="s">
        <v>263</v>
      </c>
      <c r="B28" s="77"/>
      <c r="C28" s="77"/>
      <c r="D28" s="77"/>
      <c r="E28" s="77"/>
      <c r="F28" s="77"/>
      <c r="G28" s="77"/>
      <c r="H28" s="77"/>
    </row>
    <row r="29" spans="1:8">
      <c r="A29" s="75"/>
      <c r="B29" s="77"/>
      <c r="C29" s="77"/>
      <c r="D29" s="77"/>
      <c r="E29" s="77"/>
      <c r="F29" s="77"/>
      <c r="G29" s="77"/>
      <c r="H29" s="77"/>
    </row>
    <row r="30" spans="1:8">
      <c r="A30" s="94" t="s">
        <v>264</v>
      </c>
      <c r="B30" s="77"/>
      <c r="C30" s="77"/>
      <c r="D30" s="77"/>
      <c r="E30" s="77"/>
      <c r="F30" s="77"/>
      <c r="G30" s="95"/>
      <c r="H30" s="95">
        <v>-35.081000000000003</v>
      </c>
    </row>
    <row r="31" spans="1:8" ht="84">
      <c r="A31" s="96" t="s">
        <v>265</v>
      </c>
      <c r="B31" s="77"/>
      <c r="C31" s="77"/>
      <c r="D31" s="77"/>
      <c r="E31" s="77"/>
      <c r="F31" s="77"/>
      <c r="G31" s="95"/>
      <c r="H31" s="95"/>
    </row>
    <row r="32" spans="1:8">
      <c r="A32" s="100"/>
      <c r="B32" s="101"/>
      <c r="C32" s="101"/>
      <c r="D32" s="101"/>
      <c r="E32" s="101"/>
      <c r="F32" s="101"/>
      <c r="G32" s="101"/>
      <c r="H32"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sheetPr>
    <tabColor indexed="21"/>
  </sheetPr>
  <dimension ref="A1:R36"/>
  <sheetViews>
    <sheetView topLeftCell="A37" workbookViewId="0">
      <selection activeCell="E6" sqref="E6"/>
    </sheetView>
  </sheetViews>
  <sheetFormatPr defaultRowHeight="10.5"/>
  <cols>
    <col min="1" max="1" width="37" style="14" customWidth="1"/>
    <col min="2" max="3" width="9.7109375" style="14" customWidth="1"/>
    <col min="4" max="8" width="10.5703125" style="14" customWidth="1"/>
    <col min="9" max="9" width="9.42578125" style="14" customWidth="1"/>
    <col min="10" max="10" width="4.42578125" style="14" customWidth="1"/>
    <col min="11" max="11" width="9.140625" style="14"/>
    <col min="12" max="12" width="9.85546875" style="14" customWidth="1"/>
    <col min="13" max="16384" width="9.140625" style="14"/>
  </cols>
  <sheetData>
    <row r="1" spans="1:18" ht="16.5" customHeight="1">
      <c r="A1" s="119" t="s">
        <v>266</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5524.3440000000001</v>
      </c>
      <c r="C3" s="91">
        <v>6032</v>
      </c>
      <c r="D3" s="91">
        <v>6285</v>
      </c>
      <c r="E3" s="91">
        <v>6230</v>
      </c>
      <c r="F3" s="91">
        <v>6358</v>
      </c>
      <c r="G3" s="91">
        <v>6358</v>
      </c>
      <c r="H3" s="91">
        <v>6358</v>
      </c>
      <c r="J3" s="90"/>
      <c r="L3" s="90"/>
      <c r="M3" s="90"/>
      <c r="N3" s="90"/>
      <c r="O3" s="90"/>
      <c r="P3" s="90"/>
      <c r="Q3" s="90"/>
      <c r="R3" s="90"/>
    </row>
    <row r="4" spans="1:18">
      <c r="A4" s="61" t="s">
        <v>249</v>
      </c>
      <c r="B4" s="92">
        <v>-62.197000000000003</v>
      </c>
      <c r="C4" s="92"/>
      <c r="D4" s="92"/>
      <c r="E4" s="92"/>
      <c r="F4" s="92"/>
      <c r="G4" s="92"/>
      <c r="H4" s="92"/>
      <c r="L4" s="90"/>
      <c r="M4" s="90"/>
      <c r="N4" s="90"/>
      <c r="O4" s="90"/>
      <c r="P4" s="90"/>
      <c r="Q4" s="90"/>
      <c r="R4" s="90"/>
    </row>
    <row r="5" spans="1:18" ht="11.25">
      <c r="A5" s="61" t="s">
        <v>250</v>
      </c>
      <c r="B5" s="92"/>
      <c r="C5" s="92">
        <v>-79.915000000000006</v>
      </c>
      <c r="D5" s="92">
        <v>-58.893000000000001</v>
      </c>
      <c r="E5" s="92">
        <v>-22.725000000000001</v>
      </c>
      <c r="F5" s="92">
        <v>1.1739999999999999</v>
      </c>
      <c r="G5" s="92">
        <v>1.1739999999999999</v>
      </c>
      <c r="H5" s="92">
        <v>0.73499999999999999</v>
      </c>
      <c r="L5" s="90"/>
      <c r="M5" s="90"/>
      <c r="N5" s="90"/>
      <c r="O5" s="90"/>
      <c r="P5" s="90"/>
      <c r="Q5" s="90"/>
      <c r="R5" s="90"/>
    </row>
    <row r="6" spans="1:18">
      <c r="A6" s="61" t="s">
        <v>227</v>
      </c>
      <c r="B6" s="92">
        <v>0</v>
      </c>
      <c r="C6" s="92">
        <v>-2.1999999999997799</v>
      </c>
      <c r="D6" s="92">
        <v>-100.069</v>
      </c>
      <c r="E6" s="92">
        <v>-117.164</v>
      </c>
      <c r="F6" s="92">
        <v>-118.061000000001</v>
      </c>
      <c r="G6" s="92">
        <v>-118.061000000001</v>
      </c>
      <c r="H6" s="92">
        <v>-135.54300000000001</v>
      </c>
    </row>
    <row r="7" spans="1:18">
      <c r="A7" s="63" t="s">
        <v>228</v>
      </c>
      <c r="B7" s="93">
        <v>5462.1469999999999</v>
      </c>
      <c r="C7" s="93">
        <v>5949.8850000000002</v>
      </c>
      <c r="D7" s="93">
        <v>6126.0379999999996</v>
      </c>
      <c r="E7" s="93">
        <v>6090.1109999999999</v>
      </c>
      <c r="F7" s="93">
        <v>6241.1130000000003</v>
      </c>
      <c r="G7" s="93">
        <v>6241.1130000000003</v>
      </c>
      <c r="H7" s="93">
        <v>6223.192</v>
      </c>
    </row>
    <row r="8" spans="1:18">
      <c r="A8" s="59"/>
      <c r="B8" s="91"/>
      <c r="C8" s="91"/>
      <c r="D8" s="91"/>
      <c r="E8" s="91"/>
      <c r="F8" s="91"/>
      <c r="G8" s="91"/>
      <c r="H8" s="91"/>
    </row>
    <row r="9" spans="1:18" ht="18.75" customHeight="1">
      <c r="A9" s="124" t="s">
        <v>267</v>
      </c>
      <c r="B9" s="124"/>
      <c r="C9" s="124"/>
      <c r="D9" s="124"/>
      <c r="E9" s="124"/>
      <c r="F9" s="124"/>
      <c r="G9" s="124"/>
      <c r="H9" s="124"/>
    </row>
    <row r="10" spans="1:18">
      <c r="A10" s="80"/>
      <c r="B10" s="77"/>
      <c r="C10" s="77"/>
      <c r="D10" s="77"/>
      <c r="E10" s="77"/>
      <c r="F10" s="77"/>
      <c r="G10" s="77"/>
      <c r="H10" s="77"/>
    </row>
    <row r="11" spans="1:18">
      <c r="A11" s="80" t="s">
        <v>252</v>
      </c>
      <c r="B11" s="77"/>
      <c r="C11" s="77"/>
      <c r="D11" s="77"/>
      <c r="E11" s="77"/>
      <c r="F11" s="77"/>
      <c r="G11" s="77"/>
      <c r="H11" s="77"/>
    </row>
    <row r="12" spans="1:18">
      <c r="A12" s="80"/>
      <c r="B12" s="77"/>
      <c r="C12" s="77"/>
      <c r="D12" s="77"/>
      <c r="E12" s="77"/>
      <c r="F12" s="77"/>
      <c r="G12" s="77"/>
      <c r="H12" s="77"/>
    </row>
    <row r="13" spans="1:18">
      <c r="A13" s="80" t="s">
        <v>253</v>
      </c>
      <c r="B13" s="77"/>
      <c r="C13" s="77"/>
      <c r="D13" s="77"/>
      <c r="E13" s="77"/>
      <c r="F13" s="77"/>
      <c r="G13" s="77"/>
      <c r="H13" s="77"/>
    </row>
    <row r="14" spans="1:18">
      <c r="A14" s="80"/>
      <c r="B14" s="77"/>
      <c r="C14" s="77"/>
      <c r="D14" s="77"/>
      <c r="E14" s="77"/>
      <c r="F14" s="77"/>
      <c r="G14" s="77"/>
      <c r="H14" s="77"/>
    </row>
    <row r="15" spans="1:18">
      <c r="A15" s="94" t="s">
        <v>254</v>
      </c>
      <c r="B15" s="95"/>
      <c r="C15" s="95"/>
      <c r="D15" s="95">
        <v>-35.869</v>
      </c>
      <c r="E15" s="95">
        <f>-35.869-0.895</f>
        <v>-36.764000000000003</v>
      </c>
      <c r="F15" s="95">
        <f>-35.869-1.792</f>
        <v>-37.661000000000001</v>
      </c>
      <c r="G15" s="95">
        <f>-35.869-1.792</f>
        <v>-37.661000000000001</v>
      </c>
      <c r="H15" s="95">
        <f>-35.869-1.792</f>
        <v>-37.661000000000001</v>
      </c>
    </row>
    <row r="16" spans="1:18" ht="52.5">
      <c r="A16" s="96" t="s">
        <v>255</v>
      </c>
      <c r="B16" s="77"/>
      <c r="C16" s="77"/>
      <c r="D16" s="77"/>
      <c r="E16" s="77"/>
      <c r="F16" s="77"/>
      <c r="G16" s="77"/>
      <c r="H16" s="77"/>
    </row>
    <row r="17" spans="1:8">
      <c r="A17" s="96"/>
      <c r="B17" s="77"/>
      <c r="C17" s="77"/>
      <c r="D17" s="77"/>
      <c r="E17" s="77"/>
      <c r="F17" s="77"/>
      <c r="G17" s="77"/>
      <c r="H17" s="77"/>
    </row>
    <row r="18" spans="1:8" s="97" customFormat="1">
      <c r="A18" s="102" t="s">
        <v>268</v>
      </c>
      <c r="B18" s="95"/>
      <c r="C18" s="95"/>
      <c r="D18" s="95">
        <v>-65</v>
      </c>
      <c r="E18" s="95">
        <v>-65</v>
      </c>
      <c r="F18" s="95">
        <v>-65</v>
      </c>
      <c r="G18" s="95">
        <v>-65</v>
      </c>
      <c r="H18" s="95">
        <v>-65</v>
      </c>
    </row>
    <row r="19" spans="1:8" ht="52.5">
      <c r="A19" s="96" t="s">
        <v>269</v>
      </c>
      <c r="B19" s="77"/>
      <c r="C19" s="77"/>
      <c r="D19" s="77"/>
      <c r="E19" s="77"/>
      <c r="F19" s="77"/>
      <c r="G19" s="77"/>
      <c r="H19" s="77"/>
    </row>
    <row r="20" spans="1:8">
      <c r="A20" s="96"/>
      <c r="B20" s="77"/>
      <c r="C20" s="77"/>
      <c r="D20" s="77"/>
      <c r="E20" s="77"/>
      <c r="F20" s="77"/>
      <c r="G20" s="77"/>
      <c r="H20" s="77"/>
    </row>
    <row r="21" spans="1:8" s="97" customFormat="1">
      <c r="A21" s="102" t="s">
        <v>270</v>
      </c>
      <c r="B21" s="95"/>
      <c r="C21" s="95">
        <v>-3.4</v>
      </c>
      <c r="D21" s="95">
        <v>-3.4</v>
      </c>
      <c r="E21" s="95">
        <v>-3.4</v>
      </c>
      <c r="F21" s="95">
        <v>-3.4</v>
      </c>
      <c r="G21" s="95">
        <v>-3.4</v>
      </c>
      <c r="H21" s="95">
        <v>-3.4</v>
      </c>
    </row>
    <row r="22" spans="1:8" ht="52.5">
      <c r="A22" s="96" t="s">
        <v>271</v>
      </c>
      <c r="B22" s="77"/>
      <c r="C22" s="77"/>
      <c r="D22" s="77"/>
      <c r="E22" s="77"/>
      <c r="F22" s="77"/>
      <c r="G22" s="77"/>
      <c r="H22" s="77"/>
    </row>
    <row r="23" spans="1:8">
      <c r="A23" s="96"/>
      <c r="B23" s="77"/>
      <c r="C23" s="77"/>
      <c r="D23" s="77"/>
      <c r="E23" s="77"/>
      <c r="F23" s="77"/>
      <c r="G23" s="77"/>
      <c r="H23" s="77"/>
    </row>
    <row r="24" spans="1:8" s="97" customFormat="1">
      <c r="A24" s="94" t="s">
        <v>258</v>
      </c>
      <c r="B24" s="95"/>
      <c r="C24" s="95">
        <v>-8.8000000000000007</v>
      </c>
      <c r="D24" s="95">
        <v>-22</v>
      </c>
      <c r="E24" s="95">
        <v>-22</v>
      </c>
      <c r="F24" s="95">
        <v>-22</v>
      </c>
      <c r="G24" s="95">
        <v>-22</v>
      </c>
      <c r="H24" s="95">
        <v>-22</v>
      </c>
    </row>
    <row r="25" spans="1:8" ht="52.5">
      <c r="A25" s="96" t="s">
        <v>272</v>
      </c>
      <c r="B25" s="77"/>
      <c r="C25" s="77"/>
      <c r="D25" s="77"/>
      <c r="E25" s="77"/>
      <c r="F25" s="77"/>
      <c r="G25" s="77"/>
      <c r="H25" s="77"/>
    </row>
    <row r="26" spans="1:8">
      <c r="A26" s="94"/>
      <c r="B26" s="77"/>
      <c r="C26" s="77"/>
      <c r="D26" s="77"/>
      <c r="E26" s="77"/>
      <c r="F26" s="77"/>
      <c r="G26" s="77"/>
      <c r="H26" s="77"/>
    </row>
    <row r="27" spans="1:8" s="97" customFormat="1">
      <c r="A27" s="94" t="s">
        <v>260</v>
      </c>
      <c r="B27" s="95"/>
      <c r="C27" s="95"/>
      <c r="D27" s="95">
        <v>16.2</v>
      </c>
      <c r="E27" s="95"/>
      <c r="F27" s="95"/>
      <c r="G27" s="95"/>
      <c r="H27" s="95"/>
    </row>
    <row r="28" spans="1:8" ht="42">
      <c r="A28" s="96" t="s">
        <v>261</v>
      </c>
      <c r="B28" s="77"/>
      <c r="C28" s="77"/>
      <c r="D28" s="77"/>
      <c r="E28" s="77"/>
      <c r="F28" s="77"/>
      <c r="G28" s="77"/>
      <c r="H28" s="77"/>
    </row>
    <row r="29" spans="1:8">
      <c r="A29" s="94"/>
      <c r="B29" s="77"/>
      <c r="C29" s="77"/>
      <c r="D29" s="77"/>
      <c r="E29" s="77"/>
      <c r="F29" s="77"/>
      <c r="G29" s="77"/>
      <c r="H29" s="77"/>
    </row>
    <row r="30" spans="1:8">
      <c r="A30" s="94" t="s">
        <v>273</v>
      </c>
      <c r="B30" s="77"/>
      <c r="C30" s="95">
        <v>10</v>
      </c>
      <c r="D30" s="95">
        <v>10</v>
      </c>
      <c r="E30" s="95">
        <v>10</v>
      </c>
      <c r="F30" s="95">
        <v>10</v>
      </c>
      <c r="G30" s="95">
        <v>10</v>
      </c>
      <c r="H30" s="95">
        <v>10</v>
      </c>
    </row>
    <row r="31" spans="1:8" ht="105">
      <c r="A31" s="96" t="s">
        <v>274</v>
      </c>
      <c r="B31" s="77"/>
      <c r="C31" s="77"/>
      <c r="D31" s="77"/>
      <c r="E31" s="77"/>
      <c r="F31" s="77"/>
      <c r="G31" s="77"/>
      <c r="H31" s="77"/>
    </row>
    <row r="32" spans="1:8">
      <c r="A32" s="94"/>
      <c r="B32" s="77"/>
      <c r="C32" s="77"/>
      <c r="D32" s="77"/>
      <c r="E32" s="77"/>
      <c r="F32" s="77"/>
      <c r="G32" s="77"/>
      <c r="H32" s="77"/>
    </row>
    <row r="33" spans="1:8">
      <c r="A33" s="94" t="s">
        <v>264</v>
      </c>
      <c r="B33" s="77"/>
      <c r="C33" s="77"/>
      <c r="D33" s="77"/>
      <c r="E33" s="77"/>
      <c r="F33" s="77"/>
      <c r="G33" s="77"/>
      <c r="H33" s="95">
        <v>-17.481999999999999</v>
      </c>
    </row>
    <row r="34" spans="1:8" ht="52.5">
      <c r="A34" s="96" t="s">
        <v>275</v>
      </c>
      <c r="B34" s="77"/>
      <c r="C34" s="77"/>
      <c r="D34" s="77"/>
      <c r="E34" s="77"/>
      <c r="F34" s="77"/>
      <c r="G34" s="77"/>
      <c r="H34" s="95"/>
    </row>
    <row r="35" spans="1:8">
      <c r="A35" s="100"/>
      <c r="B35" s="101"/>
      <c r="C35" s="101"/>
      <c r="D35" s="101"/>
      <c r="E35" s="101"/>
      <c r="F35" s="101"/>
      <c r="G35" s="101"/>
      <c r="H35" s="101"/>
    </row>
    <row r="36" spans="1:8">
      <c r="A36" s="103"/>
      <c r="B36" s="40"/>
      <c r="C36" s="40"/>
      <c r="D36" s="40"/>
      <c r="E36" s="40"/>
      <c r="F36" s="40"/>
      <c r="G36" s="40"/>
      <c r="H36" s="40"/>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sheetPr>
    <tabColor indexed="21"/>
  </sheetPr>
  <dimension ref="A1:R18"/>
  <sheetViews>
    <sheetView topLeftCell="A19" zoomScale="90" zoomScaleNormal="90" workbookViewId="0">
      <selection activeCell="D10" sqref="D10"/>
    </sheetView>
  </sheetViews>
  <sheetFormatPr defaultRowHeight="10.5"/>
  <cols>
    <col min="1" max="1" width="42.28515625" style="14" customWidth="1"/>
    <col min="2" max="3" width="9.7109375" style="14" customWidth="1"/>
    <col min="4" max="4" width="13.5703125" style="14" customWidth="1"/>
    <col min="5" max="8" width="10.5703125" style="14" customWidth="1"/>
    <col min="9" max="10" width="15.5703125" style="14" customWidth="1"/>
    <col min="11" max="11" width="9.140625" style="14"/>
    <col min="12" max="12" width="9.85546875" style="14" customWidth="1"/>
    <col min="13" max="16384" width="9.140625" style="14"/>
  </cols>
  <sheetData>
    <row r="1" spans="1:18" ht="18" customHeight="1">
      <c r="A1" s="119" t="s">
        <v>276</v>
      </c>
      <c r="B1" s="119"/>
      <c r="C1" s="119"/>
      <c r="D1" s="119"/>
      <c r="E1" s="119"/>
      <c r="F1" s="119"/>
      <c r="G1" s="119"/>
      <c r="H1" s="119"/>
    </row>
    <row r="2" spans="1:18">
      <c r="A2" s="58"/>
      <c r="B2" s="58">
        <v>2014</v>
      </c>
      <c r="C2" s="58">
        <v>2015</v>
      </c>
      <c r="D2" s="58">
        <v>2016</v>
      </c>
      <c r="E2" s="58">
        <v>2017</v>
      </c>
      <c r="F2" s="58">
        <v>2018</v>
      </c>
      <c r="G2" s="58">
        <v>2019</v>
      </c>
      <c r="H2" s="58">
        <v>2020</v>
      </c>
      <c r="J2" s="90"/>
    </row>
    <row r="3" spans="1:18">
      <c r="A3" s="59" t="s">
        <v>225</v>
      </c>
      <c r="B3" s="91">
        <v>1634.145</v>
      </c>
      <c r="C3" s="91">
        <v>523.68399999999997</v>
      </c>
      <c r="D3" s="91">
        <v>397.69200000000001</v>
      </c>
      <c r="E3" s="91">
        <v>341.67500000000001</v>
      </c>
      <c r="F3" s="91">
        <v>360.67500000000001</v>
      </c>
      <c r="G3" s="91">
        <v>360.67500000000001</v>
      </c>
      <c r="H3" s="91">
        <v>360.67500000000001</v>
      </c>
      <c r="J3" s="90"/>
      <c r="L3" s="90"/>
      <c r="M3" s="90"/>
      <c r="N3" s="90"/>
      <c r="O3" s="90"/>
      <c r="P3" s="90"/>
      <c r="Q3" s="90"/>
      <c r="R3" s="90"/>
    </row>
    <row r="4" spans="1:18">
      <c r="A4" s="61" t="s">
        <v>249</v>
      </c>
      <c r="B4" s="92">
        <v>-36.195</v>
      </c>
      <c r="C4" s="92"/>
      <c r="D4" s="92"/>
      <c r="E4" s="92"/>
      <c r="F4" s="92"/>
      <c r="G4" s="92"/>
      <c r="H4" s="92"/>
      <c r="L4" s="90"/>
      <c r="M4" s="90"/>
      <c r="N4" s="90"/>
      <c r="O4" s="90"/>
      <c r="P4" s="90"/>
      <c r="Q4" s="90"/>
      <c r="R4" s="90"/>
    </row>
    <row r="5" spans="1:18" ht="11.25">
      <c r="A5" s="61" t="s">
        <v>250</v>
      </c>
      <c r="B5" s="92"/>
      <c r="C5" s="92">
        <v>-37.277999999999999</v>
      </c>
      <c r="D5" s="92">
        <v>-26.425999999999998</v>
      </c>
      <c r="E5" s="92">
        <v>-22.844000000000001</v>
      </c>
      <c r="F5" s="92">
        <v>-22.911999999999999</v>
      </c>
      <c r="G5" s="92">
        <v>-22.914999999999999</v>
      </c>
      <c r="H5" s="92">
        <v>-22.951000000000001</v>
      </c>
      <c r="L5" s="90"/>
      <c r="M5" s="90"/>
      <c r="N5" s="90"/>
      <c r="O5" s="90"/>
      <c r="P5" s="90"/>
      <c r="Q5" s="90"/>
      <c r="R5" s="90"/>
    </row>
    <row r="6" spans="1:18">
      <c r="A6" s="61" t="s">
        <v>227</v>
      </c>
      <c r="B6" s="92">
        <v>6.3948846218409004E-14</v>
      </c>
      <c r="C6" s="92">
        <v>-2.0999999999999299</v>
      </c>
      <c r="D6" s="92">
        <v>-2.1000000000000099</v>
      </c>
      <c r="E6" s="92">
        <v>-2.1000000000000201</v>
      </c>
      <c r="F6" s="92">
        <v>-2.1</v>
      </c>
      <c r="G6" s="92">
        <v>-2.0999999999999899</v>
      </c>
      <c r="H6" s="92">
        <v>-3.5369999999999999</v>
      </c>
    </row>
    <row r="7" spans="1:18">
      <c r="A7" s="63" t="s">
        <v>228</v>
      </c>
      <c r="B7" s="93">
        <v>1597.95</v>
      </c>
      <c r="C7" s="93">
        <v>484.30599999999998</v>
      </c>
      <c r="D7" s="93">
        <v>369.166</v>
      </c>
      <c r="E7" s="93">
        <v>316.73099999999999</v>
      </c>
      <c r="F7" s="93">
        <v>335.66300000000001</v>
      </c>
      <c r="G7" s="93">
        <v>335.66</v>
      </c>
      <c r="H7" s="104">
        <v>334.18700000000001</v>
      </c>
    </row>
    <row r="8" spans="1:18">
      <c r="A8" s="59"/>
      <c r="B8" s="91"/>
      <c r="C8" s="91"/>
      <c r="D8" s="91"/>
      <c r="E8" s="91"/>
      <c r="F8" s="91"/>
      <c r="G8" s="91"/>
      <c r="H8" s="91"/>
    </row>
    <row r="9" spans="1:18" ht="39.75" customHeight="1">
      <c r="A9" s="124" t="s">
        <v>277</v>
      </c>
      <c r="B9" s="124"/>
      <c r="C9" s="124"/>
      <c r="D9" s="124"/>
      <c r="E9" s="124"/>
      <c r="F9" s="124"/>
      <c r="G9" s="124"/>
      <c r="H9" s="124"/>
    </row>
    <row r="10" spans="1:18">
      <c r="A10" s="80"/>
      <c r="B10" s="77"/>
      <c r="C10" s="77"/>
      <c r="D10" s="77"/>
      <c r="E10" s="77"/>
      <c r="F10" s="77"/>
      <c r="G10" s="77"/>
      <c r="H10" s="77"/>
    </row>
    <row r="11" spans="1:18">
      <c r="A11" s="80" t="s">
        <v>252</v>
      </c>
      <c r="B11" s="77"/>
      <c r="C11" s="77"/>
      <c r="D11" s="77"/>
      <c r="E11" s="77"/>
      <c r="F11" s="77"/>
      <c r="G11" s="77"/>
      <c r="H11" s="77"/>
    </row>
    <row r="12" spans="1:18">
      <c r="A12" s="80"/>
      <c r="B12" s="77"/>
      <c r="C12" s="77"/>
      <c r="D12" s="77"/>
      <c r="E12" s="77"/>
      <c r="F12" s="77"/>
      <c r="G12" s="77"/>
      <c r="H12" s="77"/>
    </row>
    <row r="13" spans="1:18">
      <c r="A13" s="94" t="s">
        <v>278</v>
      </c>
      <c r="B13" s="77"/>
      <c r="C13" s="95">
        <v>-2.1</v>
      </c>
      <c r="D13" s="95">
        <v>-2.1</v>
      </c>
      <c r="E13" s="95">
        <v>-2.1</v>
      </c>
      <c r="F13" s="95">
        <v>-2.1</v>
      </c>
      <c r="G13" s="95">
        <v>-2.1</v>
      </c>
      <c r="H13" s="95">
        <v>-2.1</v>
      </c>
    </row>
    <row r="14" spans="1:18" ht="67.5" customHeight="1">
      <c r="A14" s="96" t="s">
        <v>279</v>
      </c>
      <c r="B14" s="105"/>
      <c r="C14" s="105"/>
      <c r="D14" s="105"/>
      <c r="E14" s="105"/>
      <c r="F14" s="105"/>
      <c r="G14" s="105"/>
      <c r="H14" s="105"/>
    </row>
    <row r="15" spans="1:18">
      <c r="A15" s="80"/>
      <c r="B15" s="77"/>
      <c r="C15" s="77"/>
      <c r="D15" s="77"/>
      <c r="E15" s="77"/>
      <c r="F15" s="77"/>
      <c r="G15" s="77"/>
      <c r="H15" s="77"/>
    </row>
    <row r="16" spans="1:18">
      <c r="A16" s="94" t="s">
        <v>264</v>
      </c>
      <c r="B16" s="77"/>
      <c r="C16" s="77"/>
      <c r="D16" s="77"/>
      <c r="E16" s="77"/>
      <c r="F16" s="77"/>
      <c r="G16" s="77"/>
      <c r="H16" s="95">
        <v>-1.4370000000000001</v>
      </c>
    </row>
    <row r="17" spans="1:8" ht="42">
      <c r="A17" s="96" t="s">
        <v>280</v>
      </c>
      <c r="B17" s="77"/>
      <c r="C17" s="77"/>
      <c r="D17" s="77"/>
      <c r="E17" s="77"/>
      <c r="F17" s="77"/>
      <c r="G17" s="77"/>
      <c r="H17" s="95"/>
    </row>
    <row r="18" spans="1:8">
      <c r="A18" s="100"/>
      <c r="B18" s="101"/>
      <c r="C18" s="101"/>
      <c r="D18" s="101"/>
      <c r="E18" s="101"/>
      <c r="F18" s="101"/>
      <c r="G18" s="101"/>
      <c r="H18" s="101"/>
    </row>
  </sheetData>
  <sheetProtection selectLockedCells="1" selectUnlockedCells="1"/>
  <mergeCells count="2">
    <mergeCell ref="A1:H1"/>
    <mergeCell ref="A9:H9"/>
  </mergeCells>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vt:i4>
      </vt:variant>
    </vt:vector>
  </HeadingPairs>
  <TitlesOfParts>
    <vt:vector size="19" baseType="lpstr">
      <vt:lpstr>RIS uitvoer</vt:lpstr>
      <vt:lpstr>VD</vt:lpstr>
      <vt:lpstr>Inhousopgave</vt:lpstr>
      <vt:lpstr>Tabel 24</vt:lpstr>
      <vt:lpstr>Tabel 25</vt:lpstr>
      <vt:lpstr>Tabel 26</vt:lpstr>
      <vt:lpstr>Ouderenzorg</vt:lpstr>
      <vt:lpstr>GHZ</vt:lpstr>
      <vt:lpstr>GGZ</vt:lpstr>
      <vt:lpstr>VPT</vt:lpstr>
      <vt:lpstr>Extram</vt:lpstr>
      <vt:lpstr>Overig binnen CR</vt:lpstr>
      <vt:lpstr>pgb</vt:lpstr>
      <vt:lpstr>kapl</vt:lpstr>
      <vt:lpstr>beheersk</vt:lpstr>
      <vt:lpstr>Overige buiten CR</vt:lpstr>
      <vt:lpstr>Nominaal en onv</vt:lpstr>
      <vt:lpstr>Ontv</vt:lpstr>
      <vt:lpstr>VD!Afdrukbereik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Ministerie VWS</dc:creator>
  <cp:lastModifiedBy>RAMSARANK</cp:lastModifiedBy>
  <dcterms:created xsi:type="dcterms:W3CDTF">2015-09-11T11:02:58Z</dcterms:created>
  <dcterms:modified xsi:type="dcterms:W3CDTF">2015-09-16T12:55:09Z</dcterms:modified>
</cp:coreProperties>
</file>